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Budget Article 2014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BUDGET">#REF!</definedName>
    <definedName name="CERT_YR">'[1]SELECT-CITY OR TOWN'!$AB$24</definedName>
    <definedName name="CITY_or_TOWN_Name">"DATABANK"</definedName>
    <definedName name="CULT04">[2]HistBudget!#REF!</definedName>
    <definedName name="cult06">[2]HistBudget!#REF!</definedName>
    <definedName name="cultl06">[2]HistBudget!#REF!</definedName>
    <definedName name="cultr05">[2]HistBudget!$M$279</definedName>
    <definedName name="DEBT">#REF!</definedName>
    <definedName name="ELEM04">[2]HistBudget!#REF!</definedName>
    <definedName name="FIRE">#REF!</definedName>
    <definedName name="FIXED04">[2]HistBudget!#REF!</definedName>
    <definedName name="GENE04">[2]HistBudget!#REF!</definedName>
    <definedName name="gene06">[2]HistBudget!$N$112</definedName>
    <definedName name="GENEL06">[2]HistBudget!#REF!</definedName>
    <definedName name="gener05">[2]HistBudget!$M$112</definedName>
    <definedName name="GENGOV">#REF!</definedName>
    <definedName name="HUMA04">[2]HistBudget!#REF!</definedName>
    <definedName name="huma06">[2]HistBudget!#REF!</definedName>
    <definedName name="humal06">[2]HistBudget!#REF!</definedName>
    <definedName name="HUMANSER">#REF!</definedName>
    <definedName name="HUMAr05">[2]HistBudget!$M$254</definedName>
    <definedName name="KING04">[2]HistBudget!#REF!</definedName>
    <definedName name="name">[1]START!$C$46</definedName>
    <definedName name="OTHER">#REF!</definedName>
    <definedName name="POLICE">#REF!</definedName>
    <definedName name="_xlnm.Print_Area" localSheetId="0">'Budget Article 2014'!$A$1:$J$244</definedName>
    <definedName name="_xlnm.Print_Area">[3]A!$A$1:$J$42</definedName>
    <definedName name="PRINT_TITLES_MI">#REF!</definedName>
    <definedName name="printfix">'[1]OPTIONS TABLE'!#REF!</definedName>
    <definedName name="PROL1">#REF!</definedName>
    <definedName name="PSAFE">#REF!</definedName>
    <definedName name="PUBS04">[2]HistBudget!#REF!</definedName>
    <definedName name="pubs06">[2]HistBudget!#REF!</definedName>
    <definedName name="PUBSL06">[2]HistBudget!#REF!</definedName>
    <definedName name="pubsr05">[2]HistBudget!$M$161</definedName>
    <definedName name="PUBWORK">#REF!</definedName>
    <definedName name="PWKS04">[2]HistBudget!#REF!</definedName>
    <definedName name="pwks06">[2]HistBudget!#REF!</definedName>
    <definedName name="pwksl06">[2]HistBudget!#REF!</definedName>
    <definedName name="PWKSr05">[2]HistBudget!$M$230</definedName>
    <definedName name="RSVD04">[2]HistBudget!#REF!</definedName>
    <definedName name="rsvd06">[2]HistBudget!#REF!</definedName>
    <definedName name="rsvdl06">[2]HistBudget!#REF!</definedName>
    <definedName name="rsvdr05">[2]HistBudget!$M$296</definedName>
    <definedName name="SCHOOL">#REF!</definedName>
    <definedName name="STATEASS04">[2]HistBudget!#REF!</definedName>
    <definedName name="STATEASS05">[2]HistBudget!#REF!</definedName>
    <definedName name="STM" localSheetId="0" hidden="1">{#N/A,#N/A,FALSE,"STATE AID"}</definedName>
    <definedName name="STM" hidden="1">{#N/A,#N/A,FALSE,"STATE AID"}</definedName>
    <definedName name="TOTAL04">[2]HistBudget!#REF!</definedName>
    <definedName name="TRIC04">[2]HistBudget!#REF!</definedName>
    <definedName name="WATER">#REF!</definedName>
    <definedName name="wrn.3._.TOWNS." localSheetId="0" hidden="1">{#N/A,#N/A,FALSE,"STATE AID"}</definedName>
    <definedName name="wrn.3._.TOWNS." hidden="1">{#N/A,#N/A,FALSE,"STATE AID"}</definedName>
  </definedNames>
  <calcPr calcId="125725"/>
</workbook>
</file>

<file path=xl/calcChain.xml><?xml version="1.0" encoding="utf-8"?>
<calcChain xmlns="http://schemas.openxmlformats.org/spreadsheetml/2006/main">
  <c r="I236" i="1"/>
  <c r="H236"/>
  <c r="G236"/>
  <c r="I235"/>
  <c r="H235"/>
  <c r="G235"/>
  <c r="I234"/>
  <c r="H234"/>
  <c r="G234"/>
  <c r="E234"/>
  <c r="I233"/>
  <c r="H233"/>
  <c r="H239" s="1"/>
  <c r="G233"/>
  <c r="E233"/>
  <c r="I225"/>
  <c r="H225"/>
  <c r="G225"/>
  <c r="I223"/>
  <c r="H223"/>
  <c r="E223"/>
  <c r="I221"/>
  <c r="H221"/>
  <c r="G221"/>
  <c r="I219"/>
  <c r="H219"/>
  <c r="G219"/>
  <c r="I216"/>
  <c r="H216"/>
  <c r="G216"/>
  <c r="I214"/>
  <c r="H214"/>
  <c r="G214"/>
  <c r="E209"/>
  <c r="G206"/>
  <c r="G204"/>
  <c r="G201"/>
  <c r="I198"/>
  <c r="H198"/>
  <c r="G198"/>
  <c r="I197"/>
  <c r="H197"/>
  <c r="G197"/>
  <c r="E192"/>
  <c r="I189"/>
  <c r="H189"/>
  <c r="G189"/>
  <c r="I186"/>
  <c r="H186"/>
  <c r="G186"/>
  <c r="I185"/>
  <c r="H185"/>
  <c r="G185"/>
  <c r="I184"/>
  <c r="H184"/>
  <c r="G184"/>
  <c r="I181"/>
  <c r="H181"/>
  <c r="G181"/>
  <c r="I180"/>
  <c r="H180"/>
  <c r="G180"/>
  <c r="I179"/>
  <c r="H179"/>
  <c r="G179"/>
  <c r="I176"/>
  <c r="H176"/>
  <c r="G176"/>
  <c r="H175"/>
  <c r="G175"/>
  <c r="I174"/>
  <c r="H174"/>
  <c r="H192" s="1"/>
  <c r="G174"/>
  <c r="I162"/>
  <c r="H162"/>
  <c r="G162"/>
  <c r="I161"/>
  <c r="H161"/>
  <c r="G161"/>
  <c r="G158"/>
  <c r="F157"/>
  <c r="I155"/>
  <c r="H155"/>
  <c r="G155"/>
  <c r="G154"/>
  <c r="I153"/>
  <c r="H153"/>
  <c r="G153"/>
  <c r="E153"/>
  <c r="I152"/>
  <c r="H152"/>
  <c r="G152"/>
  <c r="E149"/>
  <c r="E165" s="1"/>
  <c r="I142"/>
  <c r="H142"/>
  <c r="G142"/>
  <c r="I136"/>
  <c r="H136"/>
  <c r="H145" s="1"/>
  <c r="E136"/>
  <c r="E145" s="1"/>
  <c r="I129"/>
  <c r="H129"/>
  <c r="G129"/>
  <c r="I128"/>
  <c r="H128"/>
  <c r="G128"/>
  <c r="I125"/>
  <c r="H125"/>
  <c r="G125"/>
  <c r="I124"/>
  <c r="H124"/>
  <c r="G124"/>
  <c r="I120"/>
  <c r="H120"/>
  <c r="G120"/>
  <c r="I116"/>
  <c r="H116"/>
  <c r="G116"/>
  <c r="I112"/>
  <c r="H112"/>
  <c r="G112"/>
  <c r="I108"/>
  <c r="H108"/>
  <c r="G108"/>
  <c r="I105"/>
  <c r="H105"/>
  <c r="G105"/>
  <c r="I104"/>
  <c r="H104"/>
  <c r="G104"/>
  <c r="I101"/>
  <c r="H101"/>
  <c r="G101"/>
  <c r="I99"/>
  <c r="H99"/>
  <c r="G99"/>
  <c r="I97"/>
  <c r="H97"/>
  <c r="G97"/>
  <c r="E97"/>
  <c r="E132" s="1"/>
  <c r="I94"/>
  <c r="H94"/>
  <c r="G94"/>
  <c r="I93"/>
  <c r="H93"/>
  <c r="G93"/>
  <c r="I89"/>
  <c r="H89"/>
  <c r="G89"/>
  <c r="I88"/>
  <c r="I132" s="1"/>
  <c r="H88"/>
  <c r="G88"/>
  <c r="G132" s="1"/>
  <c r="E80"/>
  <c r="G77"/>
  <c r="I74"/>
  <c r="H74"/>
  <c r="G74"/>
  <c r="I73"/>
  <c r="H73"/>
  <c r="G73"/>
  <c r="I70"/>
  <c r="H70"/>
  <c r="G70"/>
  <c r="I64"/>
  <c r="H64"/>
  <c r="G64"/>
  <c r="I63"/>
  <c r="H63"/>
  <c r="G63"/>
  <c r="I60"/>
  <c r="H60"/>
  <c r="G60"/>
  <c r="I59"/>
  <c r="H59"/>
  <c r="G59"/>
  <c r="I56"/>
  <c r="H56"/>
  <c r="G56"/>
  <c r="I55"/>
  <c r="H55"/>
  <c r="G55"/>
  <c r="I52"/>
  <c r="H52"/>
  <c r="G52"/>
  <c r="I51"/>
  <c r="H51"/>
  <c r="G51"/>
  <c r="I47"/>
  <c r="H47"/>
  <c r="G47"/>
  <c r="I46"/>
  <c r="H46"/>
  <c r="G46"/>
  <c r="I43"/>
  <c r="H43"/>
  <c r="G43"/>
  <c r="I42"/>
  <c r="H42"/>
  <c r="G42"/>
  <c r="I39"/>
  <c r="H39"/>
  <c r="G39"/>
  <c r="I36"/>
  <c r="H36"/>
  <c r="G36"/>
  <c r="I32"/>
  <c r="H32"/>
  <c r="G32"/>
  <c r="I31"/>
  <c r="H31"/>
  <c r="G31"/>
  <c r="I28"/>
  <c r="H28"/>
  <c r="G28"/>
  <c r="I27"/>
  <c r="H27"/>
  <c r="G27"/>
  <c r="I24"/>
  <c r="H24"/>
  <c r="G24"/>
  <c r="I23"/>
  <c r="H23"/>
  <c r="G23"/>
  <c r="I22"/>
  <c r="H22"/>
  <c r="G22"/>
  <c r="I19"/>
  <c r="H19"/>
  <c r="G19"/>
  <c r="I18"/>
  <c r="H18"/>
  <c r="G18"/>
  <c r="I17"/>
  <c r="H17"/>
  <c r="G17"/>
  <c r="F16"/>
  <c r="I14"/>
  <c r="H14"/>
  <c r="G14"/>
  <c r="I13"/>
  <c r="H13"/>
  <c r="G13"/>
  <c r="H80" l="1"/>
  <c r="H165"/>
  <c r="G192"/>
  <c r="I192"/>
  <c r="G228"/>
  <c r="I228"/>
  <c r="H209"/>
  <c r="G239"/>
  <c r="I145"/>
  <c r="G165"/>
  <c r="I239"/>
  <c r="I165"/>
  <c r="G209"/>
  <c r="G80"/>
  <c r="I80"/>
  <c r="H132"/>
  <c r="I209"/>
  <c r="H228"/>
  <c r="G145"/>
  <c r="E228"/>
  <c r="E230" s="1"/>
  <c r="E239"/>
  <c r="H230" l="1"/>
  <c r="H242" s="1"/>
  <c r="G230"/>
  <c r="I230"/>
  <c r="I242" s="1"/>
  <c r="E242"/>
  <c r="G242" l="1"/>
</calcChain>
</file>

<file path=xl/sharedStrings.xml><?xml version="1.0" encoding="utf-8"?>
<sst xmlns="http://schemas.openxmlformats.org/spreadsheetml/2006/main" count="282" uniqueCount="115">
  <si>
    <t>TOWN OF HANSON</t>
  </si>
  <si>
    <t>Page 1 of 3</t>
  </si>
  <si>
    <t>General Fund - Fiscal Year 2014</t>
  </si>
  <si>
    <t>Fiscal Year 2014</t>
  </si>
  <si>
    <t>FY2013</t>
  </si>
  <si>
    <t>Department</t>
  </si>
  <si>
    <t>Selectmen</t>
  </si>
  <si>
    <t>Finance Comm</t>
  </si>
  <si>
    <t>Line #</t>
  </si>
  <si>
    <t>BUDGET</t>
  </si>
  <si>
    <t>Requested</t>
  </si>
  <si>
    <t>Approved</t>
  </si>
  <si>
    <t>Recommend</t>
  </si>
  <si>
    <t>Funding source(s)</t>
  </si>
  <si>
    <t>GENERAL GOVERNMENT:</t>
  </si>
  <si>
    <t>SELECTMEN/ADMINISTRATION</t>
  </si>
  <si>
    <t>Salaries</t>
  </si>
  <si>
    <t>Taxation</t>
  </si>
  <si>
    <t>Expenses</t>
  </si>
  <si>
    <t>FINANCE COMMITTEE</t>
  </si>
  <si>
    <t>Reserve Fund</t>
  </si>
  <si>
    <t>ACCOUNTANT</t>
  </si>
  <si>
    <t>Audit</t>
  </si>
  <si>
    <t>ASSESSORS</t>
  </si>
  <si>
    <t>TREASURER/COLLECTOR</t>
  </si>
  <si>
    <t>MWPAT Admin Expenses</t>
  </si>
  <si>
    <t>MWPAT Title V Fund</t>
  </si>
  <si>
    <t>LEGAL SERVICES</t>
  </si>
  <si>
    <t>INFORMATION TECHNOLOGY</t>
  </si>
  <si>
    <t>TOWN CLERK</t>
  </si>
  <si>
    <t>.</t>
  </si>
  <si>
    <t>ELECTIONS</t>
  </si>
  <si>
    <t>Special Election Expenses</t>
  </si>
  <si>
    <t>BOARD OF REGISTRARS</t>
  </si>
  <si>
    <t>CONSERVATION COMMISSION</t>
  </si>
  <si>
    <t xml:space="preserve">   Salaries</t>
  </si>
  <si>
    <t xml:space="preserve">   Expenses</t>
  </si>
  <si>
    <t>PLANNING BOARD</t>
  </si>
  <si>
    <t>APPEALS BOARD</t>
  </si>
  <si>
    <t>MUNICIPAL COMMITTEES</t>
  </si>
  <si>
    <t>POSTAGE</t>
  </si>
  <si>
    <t>MUNICIPAL BUILDINGS</t>
  </si>
  <si>
    <t>UTILITIES</t>
  </si>
  <si>
    <t>Subtotal, GENERAL GOVERNMENT</t>
  </si>
  <si>
    <t>Page 2 of 3</t>
  </si>
  <si>
    <t>PUBLIC SAFETY:</t>
  </si>
  <si>
    <t>POLICE</t>
  </si>
  <si>
    <t>Capital Outlay</t>
  </si>
  <si>
    <t>COMMUNICATIONS</t>
  </si>
  <si>
    <t>FIRE &amp; AMBULANCE</t>
  </si>
  <si>
    <t>Ambulance Fund</t>
  </si>
  <si>
    <t>BUILDING INSPECTION</t>
  </si>
  <si>
    <t>GAS INSPECTION</t>
  </si>
  <si>
    <t>PLUMBING INSPECTION</t>
  </si>
  <si>
    <t>WEIGHTS &amp; MEASURES</t>
  </si>
  <si>
    <t>WIRING INSPECTION</t>
  </si>
  <si>
    <t>ANIMAL CONTROL</t>
  </si>
  <si>
    <t>TREE WARDEN</t>
  </si>
  <si>
    <t>Subtotal, PUBLIC SAFETY</t>
  </si>
  <si>
    <t>EDUCATION:</t>
  </si>
  <si>
    <t>WHITMAN-HANSON REGIONAL</t>
  </si>
  <si>
    <t>Operating Assessment</t>
  </si>
  <si>
    <t>Transportation Assessment</t>
  </si>
  <si>
    <t>Debt Assessment</t>
  </si>
  <si>
    <t>SOUTH SHORE REGIONAL TECH</t>
  </si>
  <si>
    <t>NORFOLK AGRICULTURAL</t>
  </si>
  <si>
    <t>Subtotal, EDUCATION</t>
  </si>
  <si>
    <t>PUBLIC WORKS:</t>
  </si>
  <si>
    <t>ENGINEERING</t>
  </si>
  <si>
    <t>HIGHWAY</t>
  </si>
  <si>
    <t>Snow &amp; Ice</t>
  </si>
  <si>
    <t>Street Sweeping</t>
  </si>
  <si>
    <t>TOWN-WIDE FUEL</t>
  </si>
  <si>
    <t>SOLID WASTE</t>
  </si>
  <si>
    <t>Subtotal, PUBLIC WORKS</t>
  </si>
  <si>
    <t>Page 3 of 3</t>
  </si>
  <si>
    <t>HUMAN SERVICES:</t>
  </si>
  <si>
    <t>BOARD OF HEALTH</t>
  </si>
  <si>
    <t>VNA Services</t>
  </si>
  <si>
    <t>COUNCIL ON AGING</t>
  </si>
  <si>
    <t>VETERANS</t>
  </si>
  <si>
    <t>Assistance</t>
  </si>
  <si>
    <t>CARE OF SOLDIERS GRAVES</t>
  </si>
  <si>
    <t>Subtotal, HUMAN SERVICES</t>
  </si>
  <si>
    <t>CULTURE &amp; RECREATION:</t>
  </si>
  <si>
    <t xml:space="preserve"> LIBRARY</t>
  </si>
  <si>
    <t>RECREATION</t>
  </si>
  <si>
    <t>PARK &amp; FIELDS</t>
  </si>
  <si>
    <t>PATRIOTIC OBSERVANCE COMM</t>
  </si>
  <si>
    <t>Subtotal, CULTURE &amp; RECREATION</t>
  </si>
  <si>
    <t>FIXED COSTS:</t>
  </si>
  <si>
    <t>DEBT SERVICE</t>
  </si>
  <si>
    <t>Principal</t>
  </si>
  <si>
    <t>$395,217 Taxation</t>
  </si>
  <si>
    <t>$107,500 MWPAT Rcpts Reserved</t>
  </si>
  <si>
    <t>Interest</t>
  </si>
  <si>
    <t>$161,061 Taxation</t>
  </si>
  <si>
    <t>$5,101 Debt Premium reserved</t>
  </si>
  <si>
    <t>PLYMOUTH COUNTY RETIREMENT</t>
  </si>
  <si>
    <t>UNEMPLOYMENT COMPENSATION</t>
  </si>
  <si>
    <t>GROUP INSURANCE</t>
  </si>
  <si>
    <t>RISK MANAGEMENT</t>
  </si>
  <si>
    <t>Subtoal, FIXED COSTS</t>
  </si>
  <si>
    <t>SUB TOTAL</t>
  </si>
  <si>
    <t>WATER:</t>
  </si>
  <si>
    <t>Water Revenue</t>
  </si>
  <si>
    <t>Debt Service</t>
  </si>
  <si>
    <t>Indirect Costs</t>
  </si>
  <si>
    <t>Subtotal, WATER</t>
  </si>
  <si>
    <t>TOTAL - ALL BUDGETS</t>
  </si>
  <si>
    <r>
      <rPr>
        <b/>
        <sz val="9"/>
        <rFont val="Geneva"/>
      </rPr>
      <t xml:space="preserve">   </t>
    </r>
    <r>
      <rPr>
        <b/>
        <u/>
        <sz val="9"/>
        <rFont val="Geneva"/>
      </rPr>
      <t>Funding source(s)</t>
    </r>
  </si>
  <si>
    <t>$1,231,150 Taxation</t>
  </si>
  <si>
    <t>$207,500 Ambulance Fund</t>
  </si>
  <si>
    <t>$118,752 Taxation</t>
  </si>
  <si>
    <t>$20,000 Ambulance Fund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</si>
</sst>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0000"/>
  </numFmts>
  <fonts count="13">
    <font>
      <sz val="11"/>
      <color theme="1"/>
      <name val="Calibri"/>
      <family val="2"/>
      <scheme val="minor"/>
    </font>
    <font>
      <sz val="10"/>
      <name val="Geneva"/>
    </font>
    <font>
      <b/>
      <sz val="12"/>
      <name val="Geneva"/>
    </font>
    <font>
      <sz val="9"/>
      <name val="Geneva"/>
    </font>
    <font>
      <i/>
      <sz val="10"/>
      <name val="Geneva"/>
    </font>
    <font>
      <b/>
      <sz val="10"/>
      <name val="Geneva"/>
    </font>
    <font>
      <b/>
      <sz val="9"/>
      <name val="Geneva"/>
    </font>
    <font>
      <b/>
      <u/>
      <sz val="9"/>
      <name val="Geneva"/>
    </font>
    <font>
      <sz val="10"/>
      <name val="Arial"/>
      <family val="2"/>
    </font>
    <font>
      <sz val="9"/>
      <name val="Arial"/>
      <family val="2"/>
    </font>
    <font>
      <sz val="9"/>
      <color indexed="10"/>
      <name val="Geneva"/>
      <family val="2"/>
    </font>
    <font>
      <u val="singleAccounting"/>
      <sz val="9"/>
      <name val="Geneva"/>
    </font>
    <font>
      <u/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4" fontId="1" fillId="0" borderId="0" xfId="1" applyNumberFormat="1" applyAlignment="1">
      <alignment horizontal="centerContinuous"/>
    </xf>
    <xf numFmtId="4" fontId="1" fillId="0" borderId="0" xfId="1" applyNumberFormat="1" applyBorder="1" applyAlignment="1">
      <alignment horizontal="centerContinuous"/>
    </xf>
    <xf numFmtId="41" fontId="1" fillId="0" borderId="0" xfId="1" applyNumberFormat="1" applyAlignment="1">
      <alignment horizontal="centerContinuous"/>
    </xf>
    <xf numFmtId="4" fontId="3" fillId="0" borderId="0" xfId="1" applyNumberFormat="1" applyFont="1" applyAlignment="1">
      <alignment horizontal="centerContinuous"/>
    </xf>
    <xf numFmtId="4" fontId="4" fillId="0" borderId="0" xfId="1" applyNumberFormat="1" applyFont="1" applyAlignment="1">
      <alignment horizontal="right"/>
    </xf>
    <xf numFmtId="0" fontId="5" fillId="0" borderId="0" xfId="1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/>
    <xf numFmtId="4" fontId="5" fillId="0" borderId="1" xfId="1" applyNumberFormat="1" applyFont="1" applyBorder="1" applyAlignment="1">
      <alignment horizontal="center"/>
    </xf>
    <xf numFmtId="41" fontId="5" fillId="0" borderId="1" xfId="1" applyNumberFormat="1" applyFont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41" fontId="5" fillId="0" borderId="0" xfId="1" applyNumberFormat="1" applyFont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/>
    <xf numFmtId="41" fontId="1" fillId="0" borderId="0" xfId="1" applyNumberFormat="1"/>
    <xf numFmtId="43" fontId="1" fillId="0" borderId="0" xfId="1" applyNumberFormat="1" applyBorder="1"/>
    <xf numFmtId="41" fontId="1" fillId="0" borderId="0" xfId="1" applyNumberFormat="1" applyFill="1"/>
    <xf numFmtId="43" fontId="3" fillId="0" borderId="0" xfId="1" applyNumberFormat="1" applyFont="1"/>
    <xf numFmtId="0" fontId="1" fillId="0" borderId="0" xfId="1" applyFont="1"/>
    <xf numFmtId="43" fontId="1" fillId="0" borderId="0" xfId="1" applyNumberFormat="1"/>
    <xf numFmtId="0" fontId="8" fillId="0" borderId="0" xfId="2" applyAlignment="1">
      <alignment horizontal="center"/>
    </xf>
    <xf numFmtId="0" fontId="8" fillId="0" borderId="0" xfId="2"/>
    <xf numFmtId="0" fontId="9" fillId="0" borderId="0" xfId="2" applyFont="1"/>
    <xf numFmtId="0" fontId="1" fillId="0" borderId="0" xfId="1" applyFont="1" applyAlignment="1">
      <alignment horizontal="center"/>
    </xf>
    <xf numFmtId="0" fontId="10" fillId="0" borderId="0" xfId="1" applyFont="1"/>
    <xf numFmtId="41" fontId="1" fillId="0" borderId="1" xfId="1" applyNumberFormat="1" applyBorder="1"/>
    <xf numFmtId="41" fontId="1" fillId="0" borderId="1" xfId="1" applyNumberFormat="1" applyFill="1" applyBorder="1"/>
    <xf numFmtId="43" fontId="3" fillId="0" borderId="0" xfId="1" applyNumberFormat="1" applyFont="1" applyBorder="1"/>
    <xf numFmtId="41" fontId="1" fillId="0" borderId="0" xfId="1" applyNumberFormat="1" applyBorder="1"/>
    <xf numFmtId="41" fontId="1" fillId="0" borderId="0" xfId="1" applyNumberFormat="1" applyFill="1" applyBorder="1"/>
    <xf numFmtId="0" fontId="6" fillId="0" borderId="0" xfId="1" applyFont="1" applyAlignment="1">
      <alignment horizontal="right"/>
    </xf>
    <xf numFmtId="0" fontId="3" fillId="0" borderId="0" xfId="1" applyFont="1" applyBorder="1"/>
    <xf numFmtId="43" fontId="3" fillId="0" borderId="0" xfId="1" applyNumberFormat="1" applyFont="1" applyFill="1"/>
    <xf numFmtId="43" fontId="11" fillId="0" borderId="0" xfId="1" applyNumberFormat="1" applyFont="1"/>
    <xf numFmtId="0" fontId="1" fillId="0" borderId="0" xfId="1" applyBorder="1" applyAlignment="1">
      <alignment horizontal="center"/>
    </xf>
    <xf numFmtId="0" fontId="1" fillId="0" borderId="0" xfId="1" applyBorder="1"/>
    <xf numFmtId="165" fontId="1" fillId="0" borderId="0" xfId="3" applyNumberFormat="1" applyAlignment="1">
      <alignment horizontal="center"/>
    </xf>
    <xf numFmtId="4" fontId="7" fillId="0" borderId="0" xfId="1" applyNumberFormat="1" applyFont="1" applyFill="1" applyBorder="1" applyAlignment="1"/>
    <xf numFmtId="41" fontId="1" fillId="0" borderId="0" xfId="1" applyNumberFormat="1" applyFont="1"/>
    <xf numFmtId="43" fontId="1" fillId="0" borderId="0" xfId="1" applyNumberFormat="1" applyFont="1" applyBorder="1"/>
    <xf numFmtId="43" fontId="11" fillId="0" borderId="0" xfId="1" applyNumberFormat="1" applyFont="1" applyFill="1"/>
    <xf numFmtId="6" fontId="12" fillId="0" borderId="0" xfId="1" applyNumberFormat="1" applyFont="1" applyFill="1"/>
    <xf numFmtId="0" fontId="2" fillId="0" borderId="0" xfId="1" applyFont="1" applyAlignment="1"/>
    <xf numFmtId="42" fontId="1" fillId="0" borderId="2" xfId="1" applyNumberFormat="1" applyBorder="1"/>
    <xf numFmtId="43" fontId="5" fillId="0" borderId="0" xfId="1" applyNumberFormat="1" applyFont="1" applyBorder="1" applyAlignment="1">
      <alignment horizontal="center"/>
    </xf>
    <xf numFmtId="43" fontId="6" fillId="0" borderId="0" xfId="1" applyNumberFormat="1" applyFont="1" applyBorder="1" applyAlignment="1">
      <alignment horizontal="center"/>
    </xf>
    <xf numFmtId="10" fontId="1" fillId="0" borderId="0" xfId="1" applyNumberFormat="1" applyFill="1" applyBorder="1"/>
    <xf numFmtId="0" fontId="2" fillId="0" borderId="0" xfId="1" applyFont="1"/>
    <xf numFmtId="0" fontId="1" fillId="0" borderId="0" xfId="1" applyFill="1"/>
    <xf numFmtId="42" fontId="1" fillId="0" borderId="2" xfId="1" applyNumberFormat="1" applyFill="1" applyBorder="1"/>
    <xf numFmtId="41" fontId="5" fillId="0" borderId="1" xfId="1" applyNumberFormat="1" applyFont="1" applyBorder="1" applyAlignment="1">
      <alignment horizontal="center"/>
    </xf>
  </cellXfs>
  <cellStyles count="4">
    <cellStyle name="Normal" xfId="0" builtinId="0"/>
    <cellStyle name="Normal_APPRBUDG" xfId="1"/>
    <cellStyle name="Normal_APPRGAAP" xfId="3"/>
    <cellStyle name="Normal_Approp20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odd\My%20Documents\Wrentham\Tax%20Recaps\RECAP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odd\My%20Documents\Norfolk\FY2006\BudgetBasis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esktop.virtualnorfolk.org/PROGRAM%20FILES/FIRSTCLASS/Download/04%20Worksheets/04%20Municipal%20Finan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TART"/>
      <sheetName val="TAX TITLE FORM"/>
      <sheetName val="TEACHER DEFERRAL"/>
      <sheetName val="A-1"/>
      <sheetName val="A-2(1ST)"/>
      <sheetName val="A-2(2ND)"/>
      <sheetName val="A-2(3RD)"/>
      <sheetName val="A-2(4TH)"/>
      <sheetName val="A-2(5TH)"/>
      <sheetName val="A-2(6TH)"/>
      <sheetName val="A-2(7TH)"/>
      <sheetName val="A-3"/>
      <sheetName val="A-4"/>
      <sheetName val="B-1"/>
      <sheetName val="B-2"/>
      <sheetName val="OL-1"/>
      <sheetName val="DE-1"/>
      <sheetName val="LA4"/>
      <sheetName val="LA15"/>
      <sheetName val="LA7"/>
      <sheetName val="CHAPTER 200"/>
      <sheetName val="SELECT-CITY OR TOWN"/>
      <sheetName val="Chapter 3"/>
      <sheetName val="LA13 Top"/>
      <sheetName val="LA13 Bottom"/>
      <sheetName val="LA-13A"/>
      <sheetName val="LEVYLIMIT"/>
      <sheetName val="OPTIONS TABLE"/>
      <sheetName val="LA5 INPUT"/>
      <sheetName val="LA5 FORM"/>
      <sheetName val="RECAP PAGE 1"/>
      <sheetName val="RECAP PAGE 2"/>
      <sheetName val="RECAP PAGE 3"/>
      <sheetName val="RECAP PAGE 4"/>
      <sheetName val="PRO FORMA PAGE 1"/>
      <sheetName val="PRO FORMA PAGE 2"/>
      <sheetName val="PRO FORMA PAGE 3"/>
      <sheetName val="PRO FORMA PAGE 4"/>
      <sheetName val="Sheet1"/>
      <sheetName val="Sheet2"/>
      <sheetName val="Sheet3"/>
      <sheetName val="Sheet4"/>
      <sheetName val="Module2"/>
      <sheetName val="Module15"/>
      <sheetName val="Module30"/>
      <sheetName val="Module35"/>
      <sheetName val="Module37"/>
      <sheetName val="Module38"/>
      <sheetName val="Module42"/>
      <sheetName val="Module44"/>
      <sheetName val="Module46"/>
      <sheetName val="Module45"/>
      <sheetName val="Module47"/>
      <sheetName val="Module48"/>
      <sheetName val="Module49"/>
      <sheetName val="Module50"/>
      <sheetName val="Module51"/>
      <sheetName val="Module52"/>
      <sheetName val="Module53"/>
    </sheetNames>
    <sheetDataSet>
      <sheetData sheetId="0"/>
      <sheetData sheetId="1">
        <row r="46">
          <cell r="C46" t="str">
            <v>WRENTHAM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>
        <row r="24">
          <cell r="AB24" t="str">
            <v>2004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AP.Basis06"/>
      <sheetName val="Budget.Basis06"/>
      <sheetName val="BudgetSumm06"/>
      <sheetName val="AppropSched"/>
      <sheetName val="STM 10-25-05"/>
      <sheetName val="COVER"/>
      <sheetName val="FY06 Revenue"/>
      <sheetName val="Recomm Budg"/>
      <sheetName val="FY06 Imp Budget"/>
      <sheetName val="Options LS to Bal"/>
      <sheetName val="Employee Ben"/>
      <sheetName val="Notes"/>
      <sheetName val="BYLAW INCREASE"/>
      <sheetName val="Debt Exclusions"/>
      <sheetName val="Tax Rate"/>
      <sheetName val="Options Rec to Bal"/>
      <sheetName val="Bal Budg Wksh"/>
      <sheetName val="Advisory Board Cover"/>
      <sheetName val="Adv Brd Cov Lfunding"/>
      <sheetName val="Exp by Type"/>
      <sheetName val="HistBudget"/>
      <sheetName val="Sheet2"/>
      <sheetName val="SALARY"/>
      <sheetName val="Sal Chrt 1"/>
      <sheetName val="Sal Chrt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2">
          <cell r="M112">
            <v>1478338.9899999998</v>
          </cell>
          <cell r="N112">
            <v>1635316.7964400002</v>
          </cell>
        </row>
        <row r="161">
          <cell r="M161">
            <v>2611206.19</v>
          </cell>
        </row>
        <row r="230">
          <cell r="M230">
            <v>1757936.62</v>
          </cell>
        </row>
        <row r="254">
          <cell r="M254">
            <v>203493.56</v>
          </cell>
        </row>
        <row r="279">
          <cell r="M279">
            <v>438298.58999999997</v>
          </cell>
        </row>
        <row r="296">
          <cell r="M296">
            <v>80000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 refreshError="1">
        <row r="2">
          <cell r="A2" t="str">
            <v xml:space="preserve">DETAIL - PERSONAL SERVICES BUDGET REQUEST FOR FY 2003 </v>
          </cell>
          <cell r="F2" t="str">
            <v>FY 2004</v>
          </cell>
        </row>
        <row r="3">
          <cell r="I3" t="str">
            <v xml:space="preserve"> </v>
          </cell>
        </row>
        <row r="4">
          <cell r="A4" t="str">
            <v>DEPARTMENT:</v>
          </cell>
          <cell r="D4" t="str">
            <v>Municipal Finance</v>
          </cell>
        </row>
        <row r="6">
          <cell r="A6" t="str">
            <v>ACCOUNT NUMBER:</v>
          </cell>
          <cell r="D6" t="str">
            <v>01.5132.1100</v>
          </cell>
        </row>
        <row r="7">
          <cell r="A7" t="str">
            <v xml:space="preserve"> </v>
          </cell>
          <cell r="B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</row>
        <row r="8">
          <cell r="B8" t="str">
            <v xml:space="preserve"> </v>
          </cell>
          <cell r="J8" t="str">
            <v>Town Admin</v>
          </cell>
        </row>
        <row r="9">
          <cell r="A9" t="str">
            <v>FY 02</v>
          </cell>
          <cell r="B9" t="str">
            <v>FY 03</v>
          </cell>
          <cell r="D9" t="str">
            <v>POSITION TITLE</v>
          </cell>
          <cell r="E9" t="str">
            <v xml:space="preserve">CURRENT </v>
          </cell>
          <cell r="F9" t="str">
            <v>REQUESTED</v>
          </cell>
          <cell r="H9" t="str">
            <v>FY 04</v>
          </cell>
          <cell r="I9" t="str">
            <v>FY 04</v>
          </cell>
          <cell r="J9" t="str">
            <v>Finance Director</v>
          </cell>
        </row>
        <row r="10">
          <cell r="A10" t="str">
            <v>SPENT</v>
          </cell>
          <cell r="B10" t="str">
            <v>APPROP.</v>
          </cell>
          <cell r="D10" t="str">
            <v xml:space="preserve"> </v>
          </cell>
          <cell r="E10" t="str">
            <v>GRADE/STEP</v>
          </cell>
          <cell r="F10" t="str">
            <v>GRADE/STEP</v>
          </cell>
          <cell r="H10" t="str">
            <v>REQUEST</v>
          </cell>
          <cell r="I10" t="str">
            <v>TOTALS</v>
          </cell>
          <cell r="J10" t="str">
            <v>Recommended</v>
          </cell>
        </row>
        <row r="11">
          <cell r="A11">
            <v>62956.08</v>
          </cell>
          <cell r="B11">
            <v>64874</v>
          </cell>
          <cell r="D11" t="str">
            <v>Finance Director/Accountant</v>
          </cell>
        </row>
        <row r="12">
          <cell r="E12">
            <v>11</v>
          </cell>
          <cell r="F12" t="str">
            <v xml:space="preserve"> </v>
          </cell>
          <cell r="H12">
            <v>80000</v>
          </cell>
        </row>
        <row r="13">
          <cell r="F13">
            <v>11</v>
          </cell>
          <cell r="G13" t="str">
            <v xml:space="preserve"> </v>
          </cell>
          <cell r="I13">
            <v>80000</v>
          </cell>
        </row>
        <row r="14">
          <cell r="A14">
            <v>46038.8</v>
          </cell>
          <cell r="B14">
            <v>48143</v>
          </cell>
          <cell r="D14" t="str">
            <v>Treasurer/Collector</v>
          </cell>
        </row>
        <row r="15">
          <cell r="D15" t="str">
            <v>936.69x6.4 wks</v>
          </cell>
          <cell r="E15" t="str">
            <v>9-5</v>
          </cell>
          <cell r="H15">
            <v>5994.82</v>
          </cell>
        </row>
        <row r="16">
          <cell r="D16" t="str">
            <v>960.11x45.6 wks</v>
          </cell>
          <cell r="F16" t="str">
            <v>9-6</v>
          </cell>
          <cell r="H16">
            <v>43781.02</v>
          </cell>
          <cell r="I16">
            <v>49775.839999999997</v>
          </cell>
        </row>
        <row r="17">
          <cell r="A17">
            <v>46323.18</v>
          </cell>
          <cell r="B17">
            <v>48279</v>
          </cell>
          <cell r="D17" t="str">
            <v>Chief Assessor</v>
          </cell>
          <cell r="J17" t="str">
            <v xml:space="preserve"> </v>
          </cell>
        </row>
        <row r="18">
          <cell r="D18" t="str">
            <v>1008.71x3 wks</v>
          </cell>
          <cell r="E18" t="str">
            <v>9-8</v>
          </cell>
          <cell r="H18">
            <v>3026.13</v>
          </cell>
        </row>
        <row r="19">
          <cell r="D19" t="str">
            <v>1033.93x49 wks</v>
          </cell>
          <cell r="F19" t="str">
            <v>9-9</v>
          </cell>
          <cell r="H19">
            <v>50662.57</v>
          </cell>
          <cell r="I19">
            <v>53688.7</v>
          </cell>
        </row>
        <row r="20">
          <cell r="A20">
            <v>35644.800000000003</v>
          </cell>
          <cell r="B20">
            <v>36895</v>
          </cell>
          <cell r="D20" t="str">
            <v>Assistant Town Accountant</v>
          </cell>
          <cell r="G20" t="str">
            <v xml:space="preserve"> </v>
          </cell>
        </row>
        <row r="21">
          <cell r="D21" t="str">
            <v>19.15x40x6wks</v>
          </cell>
          <cell r="E21" t="str">
            <v>Interim</v>
          </cell>
          <cell r="H21">
            <v>4596</v>
          </cell>
        </row>
        <row r="22">
          <cell r="D22" t="str">
            <v>18.23x40hrsx27.4 wks</v>
          </cell>
          <cell r="E22" t="str">
            <v>7-7</v>
          </cell>
          <cell r="F22" t="str">
            <v xml:space="preserve"> </v>
          </cell>
          <cell r="G22" t="str">
            <v xml:space="preserve"> </v>
          </cell>
          <cell r="H22">
            <v>19980.080000000002</v>
          </cell>
        </row>
        <row r="23">
          <cell r="D23" t="str">
            <v>18.68x40hrsx18.6 wks</v>
          </cell>
          <cell r="E23" t="str">
            <v xml:space="preserve"> </v>
          </cell>
          <cell r="F23" t="str">
            <v>7-8</v>
          </cell>
          <cell r="G23" t="str">
            <v xml:space="preserve"> </v>
          </cell>
          <cell r="H23">
            <v>13897.92</v>
          </cell>
          <cell r="I23">
            <v>38474</v>
          </cell>
        </row>
        <row r="24">
          <cell r="A24">
            <v>38491.379999999997</v>
          </cell>
          <cell r="B24">
            <v>38513</v>
          </cell>
          <cell r="D24" t="str">
            <v>Assistant Treasurer/Collector</v>
          </cell>
          <cell r="G24" t="str">
            <v xml:space="preserve"> </v>
          </cell>
        </row>
        <row r="25">
          <cell r="D25" t="str">
            <v>20.12x40hrsx52 wks</v>
          </cell>
          <cell r="E25" t="str">
            <v>7-11</v>
          </cell>
          <cell r="F25" t="str">
            <v>7-11</v>
          </cell>
          <cell r="G25" t="str">
            <v xml:space="preserve"> </v>
          </cell>
          <cell r="H25">
            <v>41849.599999999999</v>
          </cell>
          <cell r="I25">
            <v>41849.599999999999</v>
          </cell>
        </row>
        <row r="26">
          <cell r="A26">
            <v>38471.629999999997</v>
          </cell>
          <cell r="B26">
            <v>38513</v>
          </cell>
          <cell r="D26" t="str">
            <v xml:space="preserve">Revenue Collector </v>
          </cell>
        </row>
        <row r="27">
          <cell r="D27" t="str">
            <v>14.36x25hrsx52</v>
          </cell>
          <cell r="E27" t="str">
            <v>5-3</v>
          </cell>
          <cell r="F27" t="str">
            <v>5-3</v>
          </cell>
          <cell r="G27" t="str">
            <v xml:space="preserve"> </v>
          </cell>
          <cell r="H27">
            <v>18668</v>
          </cell>
          <cell r="I27">
            <v>18668</v>
          </cell>
        </row>
        <row r="28">
          <cell r="A28">
            <v>0</v>
          </cell>
          <cell r="B28">
            <v>0</v>
          </cell>
          <cell r="D28" t="str">
            <v>Payroll Clerk</v>
          </cell>
        </row>
        <row r="29">
          <cell r="D29" t="str">
            <v>13.10x10hrsx52</v>
          </cell>
          <cell r="E29" t="str">
            <v>2-3</v>
          </cell>
          <cell r="F29" t="str">
            <v>2-3</v>
          </cell>
          <cell r="H29">
            <v>6812</v>
          </cell>
          <cell r="I29">
            <v>6812</v>
          </cell>
        </row>
        <row r="30">
          <cell r="A30">
            <v>22143.29</v>
          </cell>
          <cell r="B30">
            <v>22348</v>
          </cell>
          <cell r="D30" t="str">
            <v>Accounting Computer A/P Clerk</v>
          </cell>
          <cell r="G30" t="str">
            <v xml:space="preserve"> </v>
          </cell>
        </row>
        <row r="31">
          <cell r="D31" t="str">
            <v>14.82x30hrsx17 wks</v>
          </cell>
          <cell r="E31" t="str">
            <v>2-8</v>
          </cell>
          <cell r="F31" t="str">
            <v xml:space="preserve"> </v>
          </cell>
          <cell r="G31" t="str">
            <v xml:space="preserve"> </v>
          </cell>
          <cell r="H31">
            <v>7558.2</v>
          </cell>
        </row>
        <row r="32">
          <cell r="D32" t="str">
            <v>15.19x30hrsx35 wks</v>
          </cell>
          <cell r="F32" t="str">
            <v>2-9</v>
          </cell>
          <cell r="G32" t="str">
            <v xml:space="preserve"> </v>
          </cell>
          <cell r="H32">
            <v>15949.5</v>
          </cell>
          <cell r="I32">
            <v>23507.7</v>
          </cell>
        </row>
        <row r="33">
          <cell r="A33">
            <v>23904</v>
          </cell>
          <cell r="B33">
            <v>24648</v>
          </cell>
          <cell r="D33" t="str">
            <v>Assessing Senior Clerk</v>
          </cell>
        </row>
        <row r="34">
          <cell r="D34" t="str">
            <v>16.52x30hrsx52 wks</v>
          </cell>
          <cell r="E34" t="str">
            <v>4-10</v>
          </cell>
          <cell r="F34" t="str">
            <v>4-11</v>
          </cell>
          <cell r="H34">
            <v>25771.200000000001</v>
          </cell>
          <cell r="I34">
            <v>25771.200000000001</v>
          </cell>
        </row>
        <row r="35">
          <cell r="A35">
            <v>24620.400000000001</v>
          </cell>
          <cell r="B35">
            <v>25381</v>
          </cell>
          <cell r="D35" t="str">
            <v>Assessing Senior Clerk</v>
          </cell>
        </row>
        <row r="36">
          <cell r="D36" t="str">
            <v>16.93x30hrsx52 wks</v>
          </cell>
          <cell r="E36" t="str">
            <v>4-11</v>
          </cell>
          <cell r="F36" t="str">
            <v>4-12</v>
          </cell>
          <cell r="H36">
            <v>26410.799999999999</v>
          </cell>
          <cell r="I36">
            <v>26410.799999999999</v>
          </cell>
        </row>
        <row r="37">
          <cell r="A37">
            <v>17187.5</v>
          </cell>
          <cell r="B37">
            <v>17834</v>
          </cell>
          <cell r="D37" t="str">
            <v>Assessing Data Collector</v>
          </cell>
          <cell r="F37" t="str">
            <v xml:space="preserve"> </v>
          </cell>
          <cell r="G37" t="str">
            <v xml:space="preserve"> </v>
          </cell>
        </row>
        <row r="38">
          <cell r="D38" t="str">
            <v>14.01x25hrsx10.6 wks</v>
          </cell>
          <cell r="E38" t="str">
            <v>5-2</v>
          </cell>
          <cell r="G38" t="str">
            <v xml:space="preserve"> </v>
          </cell>
          <cell r="H38">
            <v>3712.65</v>
          </cell>
        </row>
        <row r="39">
          <cell r="D39" t="str">
            <v>14.36x25hrsx41.4 wks</v>
          </cell>
          <cell r="F39" t="str">
            <v>5-3</v>
          </cell>
          <cell r="H39">
            <v>14862.6</v>
          </cell>
          <cell r="I39">
            <v>18575.25</v>
          </cell>
        </row>
        <row r="41">
          <cell r="D41" t="str">
            <v xml:space="preserve"> </v>
          </cell>
        </row>
        <row r="42">
          <cell r="A42">
            <v>355781.06</v>
          </cell>
          <cell r="B42">
            <v>365428</v>
          </cell>
          <cell r="C42" t="str">
            <v xml:space="preserve"> </v>
          </cell>
          <cell r="D42" t="str">
            <v>TOTAL:</v>
          </cell>
          <cell r="H42">
            <v>383533.09</v>
          </cell>
          <cell r="I42">
            <v>383533.08999999997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showGridLines="0" tabSelected="1" topLeftCell="A82" zoomScaleNormal="100" workbookViewId="0">
      <selection activeCell="K93" sqref="K93"/>
    </sheetView>
  </sheetViews>
  <sheetFormatPr defaultColWidth="11.42578125" defaultRowHeight="12.75"/>
  <cols>
    <col min="1" max="1" width="5.7109375" style="1" customWidth="1"/>
    <col min="2" max="2" width="4.7109375" style="1" customWidth="1"/>
    <col min="3" max="3" width="1.7109375" style="1" customWidth="1"/>
    <col min="4" max="4" width="25.7109375" style="1" customWidth="1"/>
    <col min="5" max="5" width="15" style="1" bestFit="1" customWidth="1"/>
    <col min="6" max="6" width="1.7109375" style="1" customWidth="1"/>
    <col min="7" max="9" width="13.7109375" style="1" customWidth="1"/>
    <col min="10" max="10" width="29.7109375" style="1" bestFit="1" customWidth="1"/>
    <col min="11" max="16384" width="11.42578125" style="1"/>
  </cols>
  <sheetData>
    <row r="1" spans="1:11" ht="15.75">
      <c r="B1" s="2" t="s">
        <v>0</v>
      </c>
      <c r="C1" s="3"/>
      <c r="D1" s="3"/>
      <c r="E1" s="4"/>
      <c r="F1" s="5"/>
      <c r="G1" s="6"/>
      <c r="H1" s="6"/>
      <c r="I1" s="6"/>
      <c r="J1" s="7"/>
    </row>
    <row r="2" spans="1:11" ht="15.75">
      <c r="B2" s="2"/>
      <c r="C2" s="3"/>
      <c r="D2" s="3"/>
      <c r="E2" s="4"/>
      <c r="F2" s="5"/>
      <c r="G2" s="6"/>
      <c r="H2" s="6"/>
      <c r="I2" s="6"/>
      <c r="J2" s="8" t="s">
        <v>1</v>
      </c>
    </row>
    <row r="3" spans="1:11" ht="15.75">
      <c r="B3" s="2" t="s">
        <v>2</v>
      </c>
      <c r="C3" s="3"/>
      <c r="D3" s="3"/>
      <c r="E3" s="4"/>
      <c r="F3" s="5"/>
      <c r="G3" s="6"/>
      <c r="H3" s="6"/>
      <c r="I3" s="6"/>
      <c r="J3" s="7"/>
    </row>
    <row r="4" spans="1:11">
      <c r="B4" s="9"/>
    </row>
    <row r="5" spans="1:11">
      <c r="B5" s="9"/>
    </row>
    <row r="6" spans="1:11">
      <c r="B6" s="9"/>
    </row>
    <row r="7" spans="1:11">
      <c r="B7" s="9"/>
      <c r="E7" s="10"/>
      <c r="F7" s="11"/>
      <c r="G7" s="64" t="s">
        <v>3</v>
      </c>
      <c r="H7" s="64"/>
      <c r="I7" s="64"/>
      <c r="J7" s="12"/>
    </row>
    <row r="8" spans="1:11">
      <c r="B8" s="9"/>
      <c r="E8" s="13" t="s">
        <v>4</v>
      </c>
      <c r="F8" s="14"/>
      <c r="G8" s="15" t="s">
        <v>5</v>
      </c>
      <c r="H8" s="15" t="s">
        <v>6</v>
      </c>
      <c r="I8" s="15" t="s">
        <v>7</v>
      </c>
      <c r="J8" s="16"/>
    </row>
    <row r="9" spans="1:11">
      <c r="A9" s="17" t="s">
        <v>8</v>
      </c>
      <c r="C9" s="18"/>
      <c r="E9" s="19" t="s">
        <v>9</v>
      </c>
      <c r="F9" s="14"/>
      <c r="G9" s="20" t="s">
        <v>10</v>
      </c>
      <c r="H9" s="20" t="s">
        <v>11</v>
      </c>
      <c r="I9" s="21" t="s">
        <v>12</v>
      </c>
      <c r="J9" s="51" t="s">
        <v>110</v>
      </c>
    </row>
    <row r="10" spans="1:11">
      <c r="A10" s="17"/>
      <c r="C10" s="18"/>
      <c r="E10" s="23"/>
      <c r="F10" s="14"/>
      <c r="G10" s="23"/>
      <c r="H10" s="23"/>
      <c r="I10" s="24"/>
      <c r="J10" s="22"/>
    </row>
    <row r="11" spans="1:11">
      <c r="B11" s="9" t="s">
        <v>14</v>
      </c>
      <c r="C11" s="18"/>
      <c r="E11" s="23"/>
      <c r="F11" s="14"/>
      <c r="G11" s="24"/>
      <c r="H11" s="24"/>
      <c r="I11" s="24"/>
      <c r="J11" s="25"/>
    </row>
    <row r="12" spans="1:11">
      <c r="B12" s="26">
        <v>122</v>
      </c>
      <c r="C12" s="27" t="s">
        <v>15</v>
      </c>
      <c r="E12" s="28"/>
      <c r="F12" s="29"/>
      <c r="G12" s="30"/>
      <c r="H12" s="30"/>
      <c r="J12" s="31"/>
    </row>
    <row r="13" spans="1:11">
      <c r="A13" s="26">
        <v>1</v>
      </c>
      <c r="B13" s="26"/>
      <c r="D13" s="27" t="s">
        <v>16</v>
      </c>
      <c r="E13" s="28">
        <v>141502</v>
      </c>
      <c r="F13" s="29"/>
      <c r="G13" s="30">
        <f>47392+95481</f>
        <v>142873</v>
      </c>
      <c r="H13" s="30">
        <f>47392+(95481+14519)</f>
        <v>157392</v>
      </c>
      <c r="I13" s="30">
        <f>47392+(95481+14519)</f>
        <v>157392</v>
      </c>
      <c r="J13" s="31" t="s">
        <v>17</v>
      </c>
      <c r="K13" s="32"/>
    </row>
    <row r="14" spans="1:11">
      <c r="A14" s="26">
        <v>2</v>
      </c>
      <c r="B14" s="26"/>
      <c r="D14" s="27" t="s">
        <v>18</v>
      </c>
      <c r="E14" s="28">
        <v>22085</v>
      </c>
      <c r="F14" s="29"/>
      <c r="G14" s="30">
        <f>8900+10935+4500</f>
        <v>24335</v>
      </c>
      <c r="H14" s="30">
        <f>8900+10935+4500</f>
        <v>24335</v>
      </c>
      <c r="I14" s="30">
        <f>8900+10935+4500</f>
        <v>24335</v>
      </c>
      <c r="J14" s="31" t="s">
        <v>17</v>
      </c>
    </row>
    <row r="15" spans="1:11" ht="6" customHeight="1">
      <c r="B15" s="26"/>
      <c r="E15" s="28"/>
      <c r="F15" s="29"/>
      <c r="G15" s="30"/>
      <c r="H15" s="30"/>
      <c r="I15" s="30"/>
      <c r="J15" s="31"/>
    </row>
    <row r="16" spans="1:11">
      <c r="B16" s="26">
        <v>131</v>
      </c>
      <c r="C16" s="27" t="s">
        <v>19</v>
      </c>
      <c r="E16" s="28"/>
      <c r="F16" s="33">
        <f>SUM(F13:F15)</f>
        <v>0</v>
      </c>
      <c r="G16" s="30"/>
      <c r="H16" s="30"/>
      <c r="I16" s="30"/>
      <c r="J16" s="31"/>
    </row>
    <row r="17" spans="1:10">
      <c r="A17" s="26">
        <v>3</v>
      </c>
      <c r="B17" s="26"/>
      <c r="D17" s="27" t="s">
        <v>16</v>
      </c>
      <c r="E17" s="28">
        <v>1550</v>
      </c>
      <c r="F17" s="29"/>
      <c r="G17" s="30">
        <f>1550</f>
        <v>1550</v>
      </c>
      <c r="H17" s="30">
        <f>1550</f>
        <v>1550</v>
      </c>
      <c r="I17" s="30">
        <f>1550</f>
        <v>1550</v>
      </c>
      <c r="J17" s="31" t="s">
        <v>17</v>
      </c>
    </row>
    <row r="18" spans="1:10">
      <c r="A18" s="26">
        <v>4</v>
      </c>
      <c r="B18" s="26"/>
      <c r="D18" s="27" t="s">
        <v>18</v>
      </c>
      <c r="E18" s="28">
        <v>447</v>
      </c>
      <c r="F18" s="29"/>
      <c r="G18" s="30">
        <f>450</f>
        <v>450</v>
      </c>
      <c r="H18" s="30">
        <f>450</f>
        <v>450</v>
      </c>
      <c r="I18" s="30">
        <f>450</f>
        <v>450</v>
      </c>
      <c r="J18" s="31" t="s">
        <v>17</v>
      </c>
    </row>
    <row r="19" spans="1:10">
      <c r="A19" s="26">
        <v>5</v>
      </c>
      <c r="B19" s="26"/>
      <c r="D19" s="27" t="s">
        <v>20</v>
      </c>
      <c r="E19" s="28">
        <v>50000</v>
      </c>
      <c r="F19" s="29"/>
      <c r="G19" s="30">
        <f>50000</f>
        <v>50000</v>
      </c>
      <c r="H19" s="30">
        <f>50000</f>
        <v>50000</v>
      </c>
      <c r="I19" s="30">
        <f>50000</f>
        <v>50000</v>
      </c>
      <c r="J19" s="31" t="s">
        <v>17</v>
      </c>
    </row>
    <row r="20" spans="1:10" ht="6" customHeight="1">
      <c r="B20" s="26"/>
      <c r="E20" s="28"/>
      <c r="F20" s="29"/>
      <c r="G20" s="30"/>
      <c r="H20" s="30"/>
      <c r="I20" s="30"/>
      <c r="J20" s="31"/>
    </row>
    <row r="21" spans="1:10">
      <c r="B21" s="26">
        <v>135</v>
      </c>
      <c r="C21" s="27" t="s">
        <v>21</v>
      </c>
      <c r="E21" s="28"/>
      <c r="F21" s="29"/>
      <c r="G21" s="30"/>
      <c r="H21" s="30"/>
      <c r="I21" s="30"/>
      <c r="J21" s="31"/>
    </row>
    <row r="22" spans="1:10">
      <c r="A22" s="26">
        <v>6</v>
      </c>
      <c r="B22" s="26"/>
      <c r="D22" s="27" t="s">
        <v>16</v>
      </c>
      <c r="E22" s="28">
        <v>91299</v>
      </c>
      <c r="F22" s="29"/>
      <c r="G22" s="30">
        <f>66950+27849</f>
        <v>94799</v>
      </c>
      <c r="H22" s="30">
        <f>66950+27849</f>
        <v>94799</v>
      </c>
      <c r="I22" s="30">
        <f>66950+27849</f>
        <v>94799</v>
      </c>
      <c r="J22" s="31" t="s">
        <v>17</v>
      </c>
    </row>
    <row r="23" spans="1:10">
      <c r="A23" s="26">
        <v>7</v>
      </c>
      <c r="B23" s="26"/>
      <c r="D23" s="27" t="s">
        <v>18</v>
      </c>
      <c r="E23" s="28">
        <v>2060</v>
      </c>
      <c r="F23" s="29"/>
      <c r="G23" s="30">
        <f>2100</f>
        <v>2100</v>
      </c>
      <c r="H23" s="30">
        <f>2100</f>
        <v>2100</v>
      </c>
      <c r="I23" s="30">
        <f>2100</f>
        <v>2100</v>
      </c>
      <c r="J23" s="31" t="s">
        <v>17</v>
      </c>
    </row>
    <row r="24" spans="1:10">
      <c r="A24" s="26">
        <v>8</v>
      </c>
      <c r="B24" s="26"/>
      <c r="D24" s="27" t="s">
        <v>22</v>
      </c>
      <c r="E24" s="28">
        <v>36500</v>
      </c>
      <c r="F24" s="29"/>
      <c r="G24" s="30">
        <f>27000</f>
        <v>27000</v>
      </c>
      <c r="H24" s="30">
        <f>27000</f>
        <v>27000</v>
      </c>
      <c r="I24" s="30">
        <f>27000</f>
        <v>27000</v>
      </c>
      <c r="J24" s="31" t="s">
        <v>17</v>
      </c>
    </row>
    <row r="25" spans="1:10" ht="6" customHeight="1">
      <c r="B25" s="26"/>
      <c r="E25" s="28"/>
      <c r="F25" s="29"/>
      <c r="G25" s="30"/>
      <c r="H25" s="30"/>
      <c r="I25" s="30"/>
      <c r="J25" s="31"/>
    </row>
    <row r="26" spans="1:10">
      <c r="B26" s="26">
        <v>141</v>
      </c>
      <c r="C26" s="27" t="s">
        <v>23</v>
      </c>
      <c r="E26" s="28"/>
      <c r="F26" s="29"/>
      <c r="G26" s="30"/>
      <c r="H26" s="30"/>
      <c r="I26" s="30"/>
      <c r="J26" s="31"/>
    </row>
    <row r="27" spans="1:10">
      <c r="A27" s="26">
        <v>9</v>
      </c>
      <c r="B27" s="26"/>
      <c r="D27" s="27" t="s">
        <v>16</v>
      </c>
      <c r="E27" s="28">
        <v>126011</v>
      </c>
      <c r="F27" s="29"/>
      <c r="G27" s="30">
        <f>59591+70911</f>
        <v>130502</v>
      </c>
      <c r="H27" s="30">
        <f>59591+70911</f>
        <v>130502</v>
      </c>
      <c r="I27" s="30">
        <f>59591+70911</f>
        <v>130502</v>
      </c>
      <c r="J27" s="31" t="s">
        <v>17</v>
      </c>
    </row>
    <row r="28" spans="1:10">
      <c r="A28" s="26">
        <v>10</v>
      </c>
      <c r="B28" s="26"/>
      <c r="D28" s="27" t="s">
        <v>18</v>
      </c>
      <c r="E28" s="28">
        <v>7150</v>
      </c>
      <c r="F28" s="29"/>
      <c r="G28" s="30">
        <f>7150</f>
        <v>7150</v>
      </c>
      <c r="H28" s="30">
        <f>7150</f>
        <v>7150</v>
      </c>
      <c r="I28" s="30">
        <f>7150</f>
        <v>7150</v>
      </c>
      <c r="J28" s="31" t="s">
        <v>17</v>
      </c>
    </row>
    <row r="29" spans="1:10" ht="6" customHeight="1">
      <c r="B29" s="26"/>
      <c r="E29" s="28"/>
      <c r="F29" s="29"/>
      <c r="G29" s="30"/>
      <c r="H29" s="30"/>
      <c r="I29" s="30"/>
      <c r="J29" s="31"/>
    </row>
    <row r="30" spans="1:10">
      <c r="B30" s="26">
        <v>145</v>
      </c>
      <c r="C30" s="27" t="s">
        <v>24</v>
      </c>
      <c r="E30" s="28"/>
      <c r="F30" s="29"/>
      <c r="G30" s="30"/>
      <c r="H30" s="30"/>
      <c r="I30" s="30"/>
      <c r="J30" s="31"/>
    </row>
    <row r="31" spans="1:10">
      <c r="A31" s="26">
        <v>11</v>
      </c>
      <c r="B31" s="26"/>
      <c r="D31" s="27" t="s">
        <v>16</v>
      </c>
      <c r="E31" s="28">
        <v>162339</v>
      </c>
      <c r="F31" s="29"/>
      <c r="G31" s="30">
        <f>69230+101470</f>
        <v>170700</v>
      </c>
      <c r="H31" s="30">
        <f>69230+97900</f>
        <v>167130</v>
      </c>
      <c r="I31" s="30">
        <f>69230+97900</f>
        <v>167130</v>
      </c>
      <c r="J31" s="31" t="s">
        <v>17</v>
      </c>
    </row>
    <row r="32" spans="1:10">
      <c r="A32" s="26">
        <v>12</v>
      </c>
      <c r="B32" s="26"/>
      <c r="D32" s="27" t="s">
        <v>18</v>
      </c>
      <c r="E32" s="28">
        <v>7512</v>
      </c>
      <c r="F32" s="29"/>
      <c r="G32" s="30">
        <f>4712+1800</f>
        <v>6512</v>
      </c>
      <c r="H32" s="30">
        <f>4712+1800</f>
        <v>6512</v>
      </c>
      <c r="I32" s="30">
        <f>4712+1800</f>
        <v>6512</v>
      </c>
      <c r="J32" s="31" t="s">
        <v>17</v>
      </c>
    </row>
    <row r="33" spans="1:10">
      <c r="A33" s="26">
        <v>13</v>
      </c>
      <c r="B33" s="26"/>
      <c r="D33" s="27" t="s">
        <v>25</v>
      </c>
      <c r="E33" s="28">
        <v>15000</v>
      </c>
      <c r="F33" s="29"/>
      <c r="G33" s="30">
        <v>15000</v>
      </c>
      <c r="H33" s="30">
        <v>15000</v>
      </c>
      <c r="I33" s="30">
        <v>15000</v>
      </c>
      <c r="J33" s="31" t="s">
        <v>26</v>
      </c>
    </row>
    <row r="34" spans="1:10" s="35" customFormat="1" ht="6" customHeight="1">
      <c r="A34" s="34"/>
      <c r="C34" s="36"/>
      <c r="D34" s="36"/>
      <c r="E34" s="28"/>
      <c r="F34" s="29"/>
      <c r="G34" s="30"/>
      <c r="H34" s="30"/>
      <c r="I34" s="30"/>
      <c r="J34" s="31"/>
    </row>
    <row r="35" spans="1:10">
      <c r="B35" s="37">
        <v>151</v>
      </c>
      <c r="C35" s="27" t="s">
        <v>27</v>
      </c>
      <c r="D35" s="38"/>
      <c r="E35" s="28"/>
      <c r="F35" s="29"/>
      <c r="G35" s="30"/>
      <c r="H35" s="30"/>
      <c r="I35" s="30"/>
      <c r="J35" s="31"/>
    </row>
    <row r="36" spans="1:10">
      <c r="A36" s="26">
        <v>14</v>
      </c>
      <c r="B36" s="26"/>
      <c r="D36" s="27" t="s">
        <v>18</v>
      </c>
      <c r="E36" s="28">
        <v>140000</v>
      </c>
      <c r="F36" s="29"/>
      <c r="G36" s="30">
        <f>140000</f>
        <v>140000</v>
      </c>
      <c r="H36" s="30">
        <f>140000</f>
        <v>140000</v>
      </c>
      <c r="I36" s="30">
        <f>140000</f>
        <v>140000</v>
      </c>
      <c r="J36" s="31" t="s">
        <v>17</v>
      </c>
    </row>
    <row r="37" spans="1:10" ht="6" customHeight="1">
      <c r="B37" s="26"/>
      <c r="E37" s="28"/>
      <c r="F37" s="29"/>
      <c r="G37" s="30"/>
      <c r="H37" s="30"/>
      <c r="I37" s="30"/>
      <c r="J37" s="31"/>
    </row>
    <row r="38" spans="1:10">
      <c r="B38" s="26">
        <v>155</v>
      </c>
      <c r="C38" s="27" t="s">
        <v>28</v>
      </c>
      <c r="E38" s="28"/>
      <c r="F38" s="29"/>
      <c r="G38" s="30"/>
      <c r="H38" s="30"/>
      <c r="I38" s="30"/>
      <c r="J38" s="31"/>
    </row>
    <row r="39" spans="1:10">
      <c r="A39" s="26">
        <v>15</v>
      </c>
      <c r="B39" s="26"/>
      <c r="D39" s="27" t="s">
        <v>18</v>
      </c>
      <c r="E39" s="28">
        <v>107000</v>
      </c>
      <c r="F39" s="29"/>
      <c r="G39" s="30">
        <f>112200</f>
        <v>112200</v>
      </c>
      <c r="H39" s="30">
        <f>112200+1800</f>
        <v>114000</v>
      </c>
      <c r="I39" s="30">
        <f>112200+1800</f>
        <v>114000</v>
      </c>
      <c r="J39" s="31" t="s">
        <v>17</v>
      </c>
    </row>
    <row r="40" spans="1:10" ht="6" customHeight="1">
      <c r="B40" s="26"/>
      <c r="E40" s="28"/>
      <c r="F40" s="29"/>
      <c r="G40" s="30"/>
      <c r="H40" s="30"/>
      <c r="I40" s="30"/>
      <c r="J40" s="31"/>
    </row>
    <row r="41" spans="1:10">
      <c r="B41" s="26">
        <v>161</v>
      </c>
      <c r="C41" s="27" t="s">
        <v>29</v>
      </c>
      <c r="E41" s="28"/>
      <c r="F41" s="29"/>
      <c r="G41" s="30"/>
      <c r="H41" s="30"/>
      <c r="I41" s="30"/>
      <c r="J41" s="31"/>
    </row>
    <row r="42" spans="1:10">
      <c r="A42" s="26">
        <v>16</v>
      </c>
      <c r="B42" s="26"/>
      <c r="D42" s="27" t="s">
        <v>16</v>
      </c>
      <c r="E42" s="28">
        <v>77570</v>
      </c>
      <c r="F42" s="29"/>
      <c r="G42" s="30">
        <f>60888+18800</f>
        <v>79688</v>
      </c>
      <c r="H42" s="30">
        <f>60888+37600</f>
        <v>98488</v>
      </c>
      <c r="I42" s="30">
        <f>60888+37600</f>
        <v>98488</v>
      </c>
      <c r="J42" s="31" t="s">
        <v>17</v>
      </c>
    </row>
    <row r="43" spans="1:10">
      <c r="A43" s="26">
        <v>17</v>
      </c>
      <c r="B43" s="37" t="s">
        <v>30</v>
      </c>
      <c r="D43" s="27" t="s">
        <v>18</v>
      </c>
      <c r="E43" s="28">
        <v>3570</v>
      </c>
      <c r="F43" s="29"/>
      <c r="G43" s="30">
        <f>3570</f>
        <v>3570</v>
      </c>
      <c r="H43" s="30">
        <f>3570</f>
        <v>3570</v>
      </c>
      <c r="I43" s="30">
        <f>3570</f>
        <v>3570</v>
      </c>
      <c r="J43" s="31" t="s">
        <v>17</v>
      </c>
    </row>
    <row r="44" spans="1:10" ht="6" customHeight="1">
      <c r="B44" s="37"/>
      <c r="E44" s="28"/>
      <c r="F44" s="29"/>
      <c r="G44" s="30"/>
      <c r="H44" s="30"/>
      <c r="I44" s="30"/>
      <c r="J44" s="31"/>
    </row>
    <row r="45" spans="1:10">
      <c r="B45" s="26">
        <v>162</v>
      </c>
      <c r="C45" s="27" t="s">
        <v>31</v>
      </c>
      <c r="E45" s="28"/>
      <c r="F45" s="29"/>
      <c r="G45" s="30"/>
      <c r="H45" s="30"/>
      <c r="I45" s="30"/>
      <c r="J45" s="31"/>
    </row>
    <row r="46" spans="1:10">
      <c r="A46" s="26">
        <v>18</v>
      </c>
      <c r="B46" s="26"/>
      <c r="D46" s="27" t="s">
        <v>16</v>
      </c>
      <c r="E46" s="28">
        <v>9444</v>
      </c>
      <c r="F46" s="29"/>
      <c r="G46" s="30">
        <f>3253</f>
        <v>3253</v>
      </c>
      <c r="H46" s="30">
        <f>3253</f>
        <v>3253</v>
      </c>
      <c r="I46" s="30">
        <f>3253</f>
        <v>3253</v>
      </c>
      <c r="J46" s="31" t="s">
        <v>17</v>
      </c>
    </row>
    <row r="47" spans="1:10">
      <c r="A47" s="26">
        <v>19</v>
      </c>
      <c r="B47" s="26"/>
      <c r="D47" s="27" t="s">
        <v>18</v>
      </c>
      <c r="E47" s="28">
        <v>10670</v>
      </c>
      <c r="F47" s="29"/>
      <c r="G47" s="30">
        <f>5342</f>
        <v>5342</v>
      </c>
      <c r="H47" s="30">
        <f>5342</f>
        <v>5342</v>
      </c>
      <c r="I47" s="30">
        <f>5342</f>
        <v>5342</v>
      </c>
      <c r="J47" s="31" t="s">
        <v>17</v>
      </c>
    </row>
    <row r="48" spans="1:10">
      <c r="A48" s="26">
        <v>20</v>
      </c>
      <c r="B48" s="26"/>
      <c r="D48" s="27" t="s">
        <v>32</v>
      </c>
      <c r="E48" s="28">
        <v>0</v>
      </c>
      <c r="F48" s="29"/>
      <c r="G48" s="30">
        <v>0</v>
      </c>
      <c r="H48" s="30">
        <v>0</v>
      </c>
      <c r="I48" s="30">
        <v>0</v>
      </c>
      <c r="J48" s="31"/>
    </row>
    <row r="49" spans="1:10" ht="6" customHeight="1">
      <c r="B49" s="26"/>
      <c r="E49" s="28"/>
      <c r="F49" s="29"/>
      <c r="G49" s="30"/>
      <c r="H49" s="30"/>
      <c r="I49" s="30"/>
      <c r="J49" s="31"/>
    </row>
    <row r="50" spans="1:10">
      <c r="B50" s="26">
        <v>163</v>
      </c>
      <c r="C50" s="27" t="s">
        <v>33</v>
      </c>
      <c r="E50" s="28"/>
      <c r="F50" s="29"/>
      <c r="G50" s="30"/>
      <c r="H50" s="30"/>
      <c r="I50" s="30"/>
      <c r="J50" s="31"/>
    </row>
    <row r="51" spans="1:10">
      <c r="A51" s="26">
        <v>21</v>
      </c>
      <c r="B51" s="26"/>
      <c r="D51" s="27" t="s">
        <v>16</v>
      </c>
      <c r="E51" s="28">
        <v>8911</v>
      </c>
      <c r="F51" s="29"/>
      <c r="G51" s="30">
        <f>7150</f>
        <v>7150</v>
      </c>
      <c r="H51" s="30">
        <f>7150</f>
        <v>7150</v>
      </c>
      <c r="I51" s="30">
        <f>7150</f>
        <v>7150</v>
      </c>
      <c r="J51" s="31" t="s">
        <v>17</v>
      </c>
    </row>
    <row r="52" spans="1:10">
      <c r="A52" s="26">
        <v>22</v>
      </c>
      <c r="B52" s="26"/>
      <c r="D52" s="27" t="s">
        <v>18</v>
      </c>
      <c r="E52" s="28">
        <v>1782</v>
      </c>
      <c r="F52" s="29"/>
      <c r="G52" s="30">
        <f>1782</f>
        <v>1782</v>
      </c>
      <c r="H52" s="30">
        <f>1782</f>
        <v>1782</v>
      </c>
      <c r="I52" s="30">
        <f>1782</f>
        <v>1782</v>
      </c>
      <c r="J52" s="31" t="s">
        <v>17</v>
      </c>
    </row>
    <row r="53" spans="1:10" ht="6" customHeight="1">
      <c r="B53" s="26"/>
      <c r="E53" s="28"/>
      <c r="F53" s="29"/>
      <c r="G53" s="30"/>
      <c r="H53" s="30"/>
      <c r="I53" s="30"/>
      <c r="J53" s="31"/>
    </row>
    <row r="54" spans="1:10">
      <c r="B54" s="26">
        <v>171</v>
      </c>
      <c r="C54" s="27" t="s">
        <v>34</v>
      </c>
      <c r="E54" s="28"/>
      <c r="F54" s="29"/>
      <c r="G54" s="30"/>
      <c r="H54" s="30"/>
      <c r="I54" s="30"/>
      <c r="J54" s="31"/>
    </row>
    <row r="55" spans="1:10">
      <c r="A55" s="26">
        <v>23</v>
      </c>
      <c r="B55" s="37"/>
      <c r="C55" s="27" t="s">
        <v>35</v>
      </c>
      <c r="E55" s="28">
        <v>75622</v>
      </c>
      <c r="F55" s="29"/>
      <c r="G55" s="30">
        <f>32960+21933</f>
        <v>54893</v>
      </c>
      <c r="H55" s="30">
        <f>32960+21933</f>
        <v>54893</v>
      </c>
      <c r="I55" s="30">
        <f>32960+21933</f>
        <v>54893</v>
      </c>
      <c r="J55" s="31" t="s">
        <v>17</v>
      </c>
    </row>
    <row r="56" spans="1:10">
      <c r="A56" s="26">
        <v>24</v>
      </c>
      <c r="B56" s="26"/>
      <c r="C56" s="27" t="s">
        <v>36</v>
      </c>
      <c r="E56" s="28">
        <v>2700</v>
      </c>
      <c r="F56" s="29"/>
      <c r="G56" s="30">
        <f>3120</f>
        <v>3120</v>
      </c>
      <c r="H56" s="30">
        <f>3120</f>
        <v>3120</v>
      </c>
      <c r="I56" s="30">
        <f>3120</f>
        <v>3120</v>
      </c>
      <c r="J56" s="31" t="s">
        <v>17</v>
      </c>
    </row>
    <row r="57" spans="1:10" ht="6" customHeight="1">
      <c r="B57" s="26"/>
      <c r="E57" s="28"/>
      <c r="F57" s="29"/>
      <c r="G57" s="30"/>
      <c r="H57" s="30"/>
      <c r="I57" s="30"/>
      <c r="J57" s="31"/>
    </row>
    <row r="58" spans="1:10">
      <c r="B58" s="26">
        <v>175</v>
      </c>
      <c r="C58" s="27" t="s">
        <v>37</v>
      </c>
      <c r="E58" s="28"/>
      <c r="F58" s="29"/>
      <c r="G58" s="30"/>
      <c r="H58" s="30"/>
      <c r="I58" s="30"/>
      <c r="J58" s="31"/>
    </row>
    <row r="59" spans="1:10">
      <c r="A59" s="26">
        <v>25</v>
      </c>
      <c r="D59" s="27" t="s">
        <v>16</v>
      </c>
      <c r="E59" s="28">
        <v>35000</v>
      </c>
      <c r="F59" s="29"/>
      <c r="G59" s="30">
        <f>32960+21933</f>
        <v>54893</v>
      </c>
      <c r="H59" s="30">
        <f>32960+24533</f>
        <v>57493</v>
      </c>
      <c r="I59" s="30">
        <f>32960+24533</f>
        <v>57493</v>
      </c>
      <c r="J59" s="31" t="s">
        <v>17</v>
      </c>
    </row>
    <row r="60" spans="1:10">
      <c r="A60" s="26">
        <v>26</v>
      </c>
      <c r="B60" s="26"/>
      <c r="D60" s="27" t="s">
        <v>18</v>
      </c>
      <c r="E60" s="28">
        <v>3254</v>
      </c>
      <c r="F60" s="29"/>
      <c r="G60" s="30">
        <f>3350</f>
        <v>3350</v>
      </c>
      <c r="H60" s="30">
        <f>3350</f>
        <v>3350</v>
      </c>
      <c r="I60" s="30">
        <f>3350</f>
        <v>3350</v>
      </c>
      <c r="J60" s="31" t="s">
        <v>17</v>
      </c>
    </row>
    <row r="61" spans="1:10" ht="9" customHeight="1">
      <c r="B61" s="26"/>
      <c r="E61" s="28"/>
      <c r="F61" s="29"/>
      <c r="G61" s="30"/>
      <c r="H61" s="30"/>
      <c r="I61" s="30"/>
      <c r="J61" s="31"/>
    </row>
    <row r="62" spans="1:10">
      <c r="B62" s="26">
        <v>176</v>
      </c>
      <c r="C62" s="27" t="s">
        <v>38</v>
      </c>
      <c r="E62" s="28"/>
      <c r="F62" s="29"/>
      <c r="G62" s="30"/>
      <c r="H62" s="30"/>
      <c r="I62" s="30"/>
      <c r="J62" s="31"/>
    </row>
    <row r="63" spans="1:10">
      <c r="A63" s="26">
        <v>27</v>
      </c>
      <c r="B63" s="26"/>
      <c r="D63" s="27" t="s">
        <v>16</v>
      </c>
      <c r="E63" s="28">
        <v>30758</v>
      </c>
      <c r="F63" s="29"/>
      <c r="G63" s="30">
        <f>31333</f>
        <v>31333</v>
      </c>
      <c r="H63" s="30">
        <f>31333</f>
        <v>31333</v>
      </c>
      <c r="I63" s="30">
        <f>31333</f>
        <v>31333</v>
      </c>
      <c r="J63" s="31" t="s">
        <v>17</v>
      </c>
    </row>
    <row r="64" spans="1:10">
      <c r="A64" s="26">
        <v>28</v>
      </c>
      <c r="B64" s="26"/>
      <c r="D64" s="27" t="s">
        <v>18</v>
      </c>
      <c r="E64" s="28">
        <v>720</v>
      </c>
      <c r="F64" s="29"/>
      <c r="G64" s="30">
        <f>720</f>
        <v>720</v>
      </c>
      <c r="H64" s="30">
        <f>720</f>
        <v>720</v>
      </c>
      <c r="I64" s="30">
        <f>720</f>
        <v>720</v>
      </c>
      <c r="J64" s="31" t="s">
        <v>17</v>
      </c>
    </row>
    <row r="65" spans="1:10" ht="6" customHeight="1">
      <c r="B65" s="26"/>
      <c r="E65" s="28"/>
      <c r="F65" s="29"/>
      <c r="G65" s="30"/>
      <c r="H65" s="30"/>
      <c r="I65" s="30"/>
      <c r="J65" s="31"/>
    </row>
    <row r="66" spans="1:10">
      <c r="B66" s="26">
        <v>180</v>
      </c>
      <c r="C66" s="27" t="s">
        <v>39</v>
      </c>
      <c r="E66" s="28"/>
      <c r="F66" s="29"/>
      <c r="G66" s="30"/>
      <c r="H66" s="30"/>
      <c r="I66" s="30"/>
      <c r="J66" s="31"/>
    </row>
    <row r="67" spans="1:10">
      <c r="A67" s="26">
        <v>29</v>
      </c>
      <c r="B67" s="26"/>
      <c r="D67" s="27" t="s">
        <v>18</v>
      </c>
      <c r="E67" s="28">
        <v>0</v>
      </c>
      <c r="F67" s="29"/>
      <c r="G67" s="30">
        <v>0</v>
      </c>
      <c r="H67" s="30">
        <v>0</v>
      </c>
      <c r="I67" s="30">
        <v>0</v>
      </c>
      <c r="J67" s="31"/>
    </row>
    <row r="68" spans="1:10" ht="6" customHeight="1">
      <c r="B68" s="26"/>
      <c r="E68" s="28"/>
      <c r="F68" s="29"/>
      <c r="G68" s="30"/>
      <c r="H68" s="30"/>
      <c r="I68" s="30"/>
      <c r="J68" s="31"/>
    </row>
    <row r="69" spans="1:10">
      <c r="B69" s="26">
        <v>190</v>
      </c>
      <c r="C69" s="27" t="s">
        <v>40</v>
      </c>
      <c r="E69" s="28"/>
      <c r="F69" s="29"/>
      <c r="G69" s="30"/>
      <c r="H69" s="30"/>
      <c r="I69" s="30"/>
      <c r="J69" s="31"/>
    </row>
    <row r="70" spans="1:10">
      <c r="A70" s="26">
        <v>30</v>
      </c>
      <c r="B70" s="26"/>
      <c r="D70" s="27" t="s">
        <v>18</v>
      </c>
      <c r="E70" s="28">
        <v>23000</v>
      </c>
      <c r="F70" s="29"/>
      <c r="G70" s="30">
        <f>23000</f>
        <v>23000</v>
      </c>
      <c r="H70" s="30">
        <f>23000</f>
        <v>23000</v>
      </c>
      <c r="I70" s="30">
        <f>23000</f>
        <v>23000</v>
      </c>
      <c r="J70" s="31" t="s">
        <v>17</v>
      </c>
    </row>
    <row r="71" spans="1:10" ht="6" customHeight="1">
      <c r="B71" s="26"/>
      <c r="E71" s="28"/>
      <c r="F71" s="29"/>
      <c r="G71" s="30"/>
      <c r="H71" s="30"/>
      <c r="I71" s="30"/>
      <c r="J71" s="31"/>
    </row>
    <row r="72" spans="1:10">
      <c r="B72" s="26">
        <v>192</v>
      </c>
      <c r="C72" s="27" t="s">
        <v>41</v>
      </c>
      <c r="E72" s="28"/>
      <c r="F72" s="29"/>
      <c r="G72" s="30"/>
      <c r="H72" s="30"/>
      <c r="I72" s="30"/>
      <c r="J72" s="31"/>
    </row>
    <row r="73" spans="1:10">
      <c r="A73" s="26">
        <v>31</v>
      </c>
      <c r="B73" s="26"/>
      <c r="D73" s="27" t="s">
        <v>16</v>
      </c>
      <c r="E73" s="28">
        <v>46327</v>
      </c>
      <c r="F73" s="29"/>
      <c r="G73" s="30">
        <f>47187</f>
        <v>47187</v>
      </c>
      <c r="H73" s="30">
        <f>47387</f>
        <v>47387</v>
      </c>
      <c r="I73" s="30">
        <f>47387</f>
        <v>47387</v>
      </c>
      <c r="J73" s="31" t="s">
        <v>17</v>
      </c>
    </row>
    <row r="74" spans="1:10">
      <c r="A74" s="26">
        <v>32</v>
      </c>
      <c r="B74" s="26"/>
      <c r="D74" s="27" t="s">
        <v>18</v>
      </c>
      <c r="E74" s="28">
        <v>11250</v>
      </c>
      <c r="F74" s="29"/>
      <c r="G74" s="30">
        <f>11250</f>
        <v>11250</v>
      </c>
      <c r="H74" s="30">
        <f>11250</f>
        <v>11250</v>
      </c>
      <c r="I74" s="30">
        <f>11250</f>
        <v>11250</v>
      </c>
      <c r="J74" s="31" t="s">
        <v>17</v>
      </c>
    </row>
    <row r="75" spans="1:10" ht="6" customHeight="1">
      <c r="B75" s="26"/>
      <c r="E75" s="28"/>
      <c r="F75" s="29"/>
      <c r="G75" s="30"/>
      <c r="H75" s="30"/>
      <c r="I75" s="30"/>
      <c r="J75" s="31"/>
    </row>
    <row r="76" spans="1:10">
      <c r="B76" s="26">
        <v>196</v>
      </c>
      <c r="C76" s="27" t="s">
        <v>42</v>
      </c>
      <c r="E76" s="28"/>
      <c r="F76" s="29"/>
      <c r="G76" s="30"/>
      <c r="H76" s="30"/>
      <c r="I76" s="30"/>
      <c r="J76" s="31"/>
    </row>
    <row r="77" spans="1:10">
      <c r="A77" s="26">
        <v>33</v>
      </c>
      <c r="B77" s="26"/>
      <c r="D77" s="27" t="s">
        <v>18</v>
      </c>
      <c r="E77" s="28">
        <v>89944</v>
      </c>
      <c r="F77" s="29"/>
      <c r="G77" s="30">
        <f>89944</f>
        <v>89944</v>
      </c>
      <c r="H77" s="30">
        <v>95250</v>
      </c>
      <c r="I77" s="30">
        <v>95250</v>
      </c>
      <c r="J77" s="31" t="s">
        <v>17</v>
      </c>
    </row>
    <row r="78" spans="1:10" ht="6" customHeight="1">
      <c r="B78" s="26"/>
      <c r="E78" s="39"/>
      <c r="F78" s="29"/>
      <c r="G78" s="40"/>
      <c r="H78" s="40"/>
      <c r="I78" s="39"/>
      <c r="J78" s="41"/>
    </row>
    <row r="79" spans="1:10" ht="6" customHeight="1">
      <c r="B79" s="26"/>
      <c r="E79" s="42"/>
      <c r="F79" s="29"/>
      <c r="G79" s="43"/>
      <c r="H79" s="43"/>
      <c r="I79" s="42"/>
      <c r="J79" s="41"/>
    </row>
    <row r="80" spans="1:10">
      <c r="B80" s="26"/>
      <c r="D80" s="44" t="s">
        <v>43</v>
      </c>
      <c r="E80" s="39">
        <f>SUM(E12:E78)</f>
        <v>1340977</v>
      </c>
      <c r="F80" s="29"/>
      <c r="G80" s="40">
        <f>SUM(G12:G78)</f>
        <v>1345646</v>
      </c>
      <c r="H80" s="40">
        <f>SUM(H12:H78)</f>
        <v>1385301</v>
      </c>
      <c r="I80" s="39">
        <f>SUM(I12:I78)</f>
        <v>1385301</v>
      </c>
      <c r="J80" s="41"/>
    </row>
    <row r="81" spans="1:10">
      <c r="B81" s="26"/>
      <c r="D81" s="44"/>
      <c r="E81" s="42"/>
      <c r="F81" s="29"/>
      <c r="G81" s="43"/>
      <c r="H81" s="43"/>
      <c r="I81" s="42"/>
      <c r="J81" s="41"/>
    </row>
    <row r="82" spans="1:10">
      <c r="B82" s="9"/>
      <c r="E82" s="10"/>
      <c r="F82" s="11"/>
      <c r="J82" s="8" t="s">
        <v>44</v>
      </c>
    </row>
    <row r="83" spans="1:10">
      <c r="B83" s="9"/>
      <c r="E83" s="10"/>
      <c r="F83" s="11"/>
      <c r="G83" s="64" t="s">
        <v>3</v>
      </c>
      <c r="H83" s="64"/>
      <c r="I83" s="64"/>
      <c r="J83" s="12"/>
    </row>
    <row r="84" spans="1:10">
      <c r="B84" s="9"/>
      <c r="E84" s="13" t="s">
        <v>4</v>
      </c>
      <c r="F84" s="14"/>
      <c r="G84" s="15" t="s">
        <v>5</v>
      </c>
      <c r="H84" s="15" t="s">
        <v>6</v>
      </c>
      <c r="I84" s="15" t="s">
        <v>7</v>
      </c>
      <c r="J84" s="16"/>
    </row>
    <row r="85" spans="1:10">
      <c r="A85" s="17" t="s">
        <v>8</v>
      </c>
      <c r="C85" s="18"/>
      <c r="E85" s="19" t="s">
        <v>9</v>
      </c>
      <c r="F85" s="14"/>
      <c r="G85" s="20" t="s">
        <v>10</v>
      </c>
      <c r="H85" s="20" t="s">
        <v>11</v>
      </c>
      <c r="I85" s="21" t="s">
        <v>12</v>
      </c>
      <c r="J85" s="22" t="s">
        <v>13</v>
      </c>
    </row>
    <row r="86" spans="1:10">
      <c r="B86" s="9" t="s">
        <v>45</v>
      </c>
      <c r="E86" s="28"/>
      <c r="F86" s="29"/>
      <c r="J86" s="31"/>
    </row>
    <row r="87" spans="1:10">
      <c r="B87" s="26">
        <v>210</v>
      </c>
      <c r="C87" s="27" t="s">
        <v>46</v>
      </c>
      <c r="E87" s="28"/>
      <c r="F87" s="29"/>
      <c r="J87" s="31"/>
    </row>
    <row r="88" spans="1:10">
      <c r="A88" s="26">
        <v>34</v>
      </c>
      <c r="B88" s="26"/>
      <c r="D88" s="27" t="s">
        <v>16</v>
      </c>
      <c r="E88" s="28">
        <v>1624717</v>
      </c>
      <c r="F88" s="29"/>
      <c r="G88" s="30">
        <f>115000+1539340</f>
        <v>1654340</v>
      </c>
      <c r="H88" s="30">
        <f>115000+1540209</f>
        <v>1655209</v>
      </c>
      <c r="I88" s="30">
        <f>115000+1540209</f>
        <v>1655209</v>
      </c>
      <c r="J88" s="31" t="s">
        <v>17</v>
      </c>
    </row>
    <row r="89" spans="1:10">
      <c r="A89" s="26">
        <v>35</v>
      </c>
      <c r="B89" s="26"/>
      <c r="D89" s="27" t="s">
        <v>18</v>
      </c>
      <c r="E89" s="28">
        <v>118643</v>
      </c>
      <c r="F89" s="29"/>
      <c r="G89" s="28">
        <f>121358</f>
        <v>121358</v>
      </c>
      <c r="H89" s="28">
        <f>121358</f>
        <v>121358</v>
      </c>
      <c r="I89" s="28">
        <f>121358</f>
        <v>121358</v>
      </c>
      <c r="J89" s="31" t="s">
        <v>17</v>
      </c>
    </row>
    <row r="90" spans="1:10">
      <c r="A90" s="26">
        <v>36</v>
      </c>
      <c r="B90" s="26"/>
      <c r="D90" s="27" t="s">
        <v>47</v>
      </c>
      <c r="E90" s="28">
        <v>48629</v>
      </c>
      <c r="F90" s="29"/>
      <c r="G90" s="30">
        <v>60761</v>
      </c>
      <c r="H90" s="30">
        <v>37743</v>
      </c>
      <c r="I90" s="30">
        <v>37743</v>
      </c>
      <c r="J90" s="31" t="s">
        <v>17</v>
      </c>
    </row>
    <row r="91" spans="1:10" ht="6" customHeight="1">
      <c r="E91" s="28"/>
      <c r="F91" s="29"/>
      <c r="J91" s="31"/>
    </row>
    <row r="92" spans="1:10">
      <c r="B92" s="26">
        <v>215</v>
      </c>
      <c r="C92" s="27" t="s">
        <v>48</v>
      </c>
      <c r="E92" s="28"/>
      <c r="F92" s="29"/>
      <c r="J92" s="31"/>
    </row>
    <row r="93" spans="1:10">
      <c r="A93" s="26">
        <v>37</v>
      </c>
      <c r="B93" s="26"/>
      <c r="D93" s="27" t="s">
        <v>16</v>
      </c>
      <c r="E93" s="28">
        <v>281057</v>
      </c>
      <c r="F93" s="29"/>
      <c r="G93" s="28">
        <f>300113</f>
        <v>300113</v>
      </c>
      <c r="H93" s="28">
        <f>300113</f>
        <v>300113</v>
      </c>
      <c r="I93" s="28">
        <f>300113</f>
        <v>300113</v>
      </c>
      <c r="J93" s="31" t="s">
        <v>17</v>
      </c>
    </row>
    <row r="94" spans="1:10">
      <c r="A94" s="26">
        <v>38</v>
      </c>
      <c r="B94" s="26"/>
      <c r="D94" s="45" t="s">
        <v>18</v>
      </c>
      <c r="E94" s="28">
        <v>25540</v>
      </c>
      <c r="F94" s="29"/>
      <c r="G94" s="28">
        <f>25540</f>
        <v>25540</v>
      </c>
      <c r="H94" s="28">
        <f>25540</f>
        <v>25540</v>
      </c>
      <c r="I94" s="28">
        <f>25540</f>
        <v>25540</v>
      </c>
      <c r="J94" s="31" t="s">
        <v>17</v>
      </c>
    </row>
    <row r="95" spans="1:10" ht="7.5" customHeight="1">
      <c r="B95" s="26"/>
      <c r="E95" s="28"/>
      <c r="F95" s="29"/>
      <c r="J95" s="31"/>
    </row>
    <row r="96" spans="1:10">
      <c r="B96" s="26">
        <v>220</v>
      </c>
      <c r="C96" s="27" t="s">
        <v>49</v>
      </c>
      <c r="E96" s="28"/>
      <c r="F96" s="29"/>
      <c r="J96" s="31"/>
    </row>
    <row r="97" spans="1:10">
      <c r="A97" s="26">
        <v>39</v>
      </c>
      <c r="B97" s="26"/>
      <c r="D97" s="27" t="s">
        <v>16</v>
      </c>
      <c r="E97" s="28">
        <f>1370186+27200</f>
        <v>1397386</v>
      </c>
      <c r="F97" s="29"/>
      <c r="G97" s="28">
        <f>100244+1259200+41363+37843</f>
        <v>1438650</v>
      </c>
      <c r="H97" s="28">
        <f>100244+1259200+41363+37843</f>
        <v>1438650</v>
      </c>
      <c r="I97" s="28">
        <f>100244+1259200+41363+37843</f>
        <v>1438650</v>
      </c>
      <c r="J97" s="46" t="s">
        <v>111</v>
      </c>
    </row>
    <row r="98" spans="1:10" ht="15">
      <c r="B98" s="26"/>
      <c r="E98" s="28"/>
      <c r="F98" s="29"/>
      <c r="J98" s="47" t="s">
        <v>112</v>
      </c>
    </row>
    <row r="99" spans="1:10">
      <c r="A99" s="26">
        <v>40</v>
      </c>
      <c r="B99" s="26"/>
      <c r="D99" s="27" t="s">
        <v>18</v>
      </c>
      <c r="E99" s="28">
        <v>119300</v>
      </c>
      <c r="F99" s="29"/>
      <c r="G99" s="28">
        <f>135252+3500</f>
        <v>138752</v>
      </c>
      <c r="H99" s="28">
        <f>135252+3500</f>
        <v>138752</v>
      </c>
      <c r="I99" s="28">
        <f>135252+3500</f>
        <v>138752</v>
      </c>
      <c r="J99" s="46" t="s">
        <v>113</v>
      </c>
    </row>
    <row r="100" spans="1:10" ht="15">
      <c r="B100" s="26"/>
      <c r="E100" s="28"/>
      <c r="F100" s="29"/>
      <c r="J100" s="47" t="s">
        <v>114</v>
      </c>
    </row>
    <row r="101" spans="1:10">
      <c r="A101" s="26">
        <v>41</v>
      </c>
      <c r="B101" s="26"/>
      <c r="D101" s="27" t="s">
        <v>47</v>
      </c>
      <c r="E101" s="28">
        <v>46891</v>
      </c>
      <c r="F101" s="29"/>
      <c r="G101" s="28">
        <f>46891</f>
        <v>46891</v>
      </c>
      <c r="H101" s="28">
        <f>46891</f>
        <v>46891</v>
      </c>
      <c r="I101" s="28">
        <f>46891</f>
        <v>46891</v>
      </c>
      <c r="J101" s="31" t="s">
        <v>50</v>
      </c>
    </row>
    <row r="102" spans="1:10" ht="7.5" customHeight="1">
      <c r="B102" s="26"/>
      <c r="E102" s="28"/>
      <c r="F102" s="29"/>
      <c r="J102" s="31"/>
    </row>
    <row r="103" spans="1:10">
      <c r="B103" s="26">
        <v>241</v>
      </c>
      <c r="C103" s="27" t="s">
        <v>51</v>
      </c>
      <c r="E103" s="28"/>
      <c r="F103" s="29"/>
      <c r="J103" s="31"/>
    </row>
    <row r="104" spans="1:10">
      <c r="A104" s="26">
        <v>42</v>
      </c>
      <c r="B104" s="26"/>
      <c r="D104" s="27" t="s">
        <v>16</v>
      </c>
      <c r="E104" s="28">
        <v>72633</v>
      </c>
      <c r="F104" s="29"/>
      <c r="G104" s="28">
        <f>32147+800+41382</f>
        <v>74329</v>
      </c>
      <c r="H104" s="28">
        <f>32147+800+41382</f>
        <v>74329</v>
      </c>
      <c r="I104" s="28">
        <f>32147+800+41382</f>
        <v>74329</v>
      </c>
      <c r="J104" s="31" t="s">
        <v>17</v>
      </c>
    </row>
    <row r="105" spans="1:10">
      <c r="A105" s="26">
        <v>43</v>
      </c>
      <c r="B105" s="26"/>
      <c r="D105" s="27" t="s">
        <v>18</v>
      </c>
      <c r="E105" s="28">
        <v>4000</v>
      </c>
      <c r="F105" s="29"/>
      <c r="G105" s="28">
        <f>4000</f>
        <v>4000</v>
      </c>
      <c r="H105" s="28">
        <f>4000</f>
        <v>4000</v>
      </c>
      <c r="I105" s="28">
        <f>4000</f>
        <v>4000</v>
      </c>
      <c r="J105" s="31" t="s">
        <v>17</v>
      </c>
    </row>
    <row r="106" spans="1:10" ht="7.5" customHeight="1">
      <c r="B106" s="26"/>
      <c r="E106" s="28"/>
      <c r="F106" s="29"/>
      <c r="J106" s="31"/>
    </row>
    <row r="107" spans="1:10">
      <c r="B107" s="26">
        <v>242</v>
      </c>
      <c r="C107" s="27" t="s">
        <v>52</v>
      </c>
      <c r="E107" s="28"/>
      <c r="F107" s="29"/>
      <c r="J107" s="31"/>
    </row>
    <row r="108" spans="1:10">
      <c r="A108" s="26">
        <v>44</v>
      </c>
      <c r="B108" s="26"/>
      <c r="D108" s="27" t="s">
        <v>16</v>
      </c>
      <c r="E108" s="28">
        <v>4263</v>
      </c>
      <c r="F108" s="29"/>
      <c r="G108" s="28">
        <f>4391</f>
        <v>4391</v>
      </c>
      <c r="H108" s="28">
        <f>4391</f>
        <v>4391</v>
      </c>
      <c r="I108" s="28">
        <f>4391</f>
        <v>4391</v>
      </c>
      <c r="J108" s="31" t="s">
        <v>17</v>
      </c>
    </row>
    <row r="109" spans="1:10">
      <c r="A109" s="26">
        <v>45</v>
      </c>
      <c r="B109" s="26"/>
      <c r="D109" s="27" t="s">
        <v>18</v>
      </c>
      <c r="E109" s="28">
        <v>0</v>
      </c>
      <c r="F109" s="29"/>
      <c r="G109" s="28">
        <v>0</v>
      </c>
      <c r="H109" s="28">
        <v>0</v>
      </c>
      <c r="I109" s="28">
        <v>0</v>
      </c>
      <c r="J109" s="31"/>
    </row>
    <row r="110" spans="1:10" ht="7.5" customHeight="1">
      <c r="B110" s="26"/>
      <c r="E110" s="28"/>
      <c r="F110" s="29"/>
      <c r="J110" s="31"/>
    </row>
    <row r="111" spans="1:10">
      <c r="B111" s="26">
        <v>243</v>
      </c>
      <c r="C111" s="27" t="s">
        <v>53</v>
      </c>
      <c r="E111" s="28"/>
      <c r="F111" s="29"/>
      <c r="J111" s="31"/>
    </row>
    <row r="112" spans="1:10">
      <c r="A112" s="26">
        <v>46</v>
      </c>
      <c r="B112" s="26"/>
      <c r="D112" s="27" t="s">
        <v>16</v>
      </c>
      <c r="E112" s="28">
        <v>4060</v>
      </c>
      <c r="F112" s="29"/>
      <c r="G112" s="28">
        <f>4182</f>
        <v>4182</v>
      </c>
      <c r="H112" s="28">
        <f>4182</f>
        <v>4182</v>
      </c>
      <c r="I112" s="28">
        <f>4182</f>
        <v>4182</v>
      </c>
      <c r="J112" s="31" t="s">
        <v>17</v>
      </c>
    </row>
    <row r="113" spans="1:10">
      <c r="A113" s="26">
        <v>47</v>
      </c>
      <c r="B113" s="26"/>
      <c r="D113" s="27" t="s">
        <v>18</v>
      </c>
      <c r="E113" s="28">
        <v>0</v>
      </c>
      <c r="F113" s="29"/>
      <c r="G113" s="28">
        <v>0</v>
      </c>
      <c r="H113" s="28">
        <v>0</v>
      </c>
      <c r="I113" s="28">
        <v>0</v>
      </c>
      <c r="J113" s="31"/>
    </row>
    <row r="114" spans="1:10" ht="7.5" customHeight="1">
      <c r="B114" s="26"/>
      <c r="E114" s="28"/>
      <c r="F114" s="29"/>
      <c r="J114" s="31"/>
    </row>
    <row r="115" spans="1:10">
      <c r="B115" s="26">
        <v>244</v>
      </c>
      <c r="C115" s="27" t="s">
        <v>54</v>
      </c>
      <c r="E115" s="28"/>
      <c r="F115" s="29"/>
      <c r="J115" s="31"/>
    </row>
    <row r="116" spans="1:10">
      <c r="A116" s="26">
        <v>48</v>
      </c>
      <c r="B116" s="26"/>
      <c r="D116" s="27" t="s">
        <v>16</v>
      </c>
      <c r="E116" s="28">
        <v>3000</v>
      </c>
      <c r="F116" s="29"/>
      <c r="G116" s="28">
        <f>3090</f>
        <v>3090</v>
      </c>
      <c r="H116" s="28">
        <f>3090</f>
        <v>3090</v>
      </c>
      <c r="I116" s="28">
        <f>3090</f>
        <v>3090</v>
      </c>
      <c r="J116" s="31" t="s">
        <v>17</v>
      </c>
    </row>
    <row r="117" spans="1:10">
      <c r="A117" s="26">
        <v>49</v>
      </c>
      <c r="B117" s="26"/>
      <c r="D117" s="27" t="s">
        <v>18</v>
      </c>
      <c r="E117" s="28">
        <v>400</v>
      </c>
      <c r="F117" s="29"/>
      <c r="G117" s="28">
        <v>400</v>
      </c>
      <c r="H117" s="28">
        <v>400</v>
      </c>
      <c r="I117" s="28">
        <v>400</v>
      </c>
      <c r="J117" s="31" t="s">
        <v>17</v>
      </c>
    </row>
    <row r="118" spans="1:10" ht="7.5" customHeight="1">
      <c r="B118" s="26"/>
      <c r="E118" s="28"/>
      <c r="F118" s="29"/>
      <c r="J118" s="31"/>
    </row>
    <row r="119" spans="1:10">
      <c r="B119" s="26">
        <v>245</v>
      </c>
      <c r="C119" s="27" t="s">
        <v>55</v>
      </c>
      <c r="E119" s="28"/>
      <c r="F119" s="29"/>
      <c r="J119" s="31"/>
    </row>
    <row r="120" spans="1:10">
      <c r="A120" s="26">
        <v>50</v>
      </c>
      <c r="B120" s="26"/>
      <c r="D120" s="27" t="s">
        <v>16</v>
      </c>
      <c r="E120" s="28">
        <v>16240</v>
      </c>
      <c r="F120" s="29"/>
      <c r="G120" s="28">
        <f>16727</f>
        <v>16727</v>
      </c>
      <c r="H120" s="28">
        <f>16727</f>
        <v>16727</v>
      </c>
      <c r="I120" s="28">
        <f>16727</f>
        <v>16727</v>
      </c>
      <c r="J120" s="31" t="s">
        <v>17</v>
      </c>
    </row>
    <row r="121" spans="1:10">
      <c r="A121" s="26">
        <v>51</v>
      </c>
      <c r="B121" s="26"/>
      <c r="D121" s="27" t="s">
        <v>18</v>
      </c>
      <c r="E121" s="28">
        <v>0</v>
      </c>
      <c r="F121" s="29"/>
      <c r="G121" s="28">
        <v>0</v>
      </c>
      <c r="H121" s="28">
        <v>0</v>
      </c>
      <c r="I121" s="28">
        <v>0</v>
      </c>
      <c r="J121" s="31"/>
    </row>
    <row r="122" spans="1:10" ht="7.5" customHeight="1">
      <c r="B122" s="26"/>
      <c r="E122" s="28"/>
      <c r="F122" s="29"/>
      <c r="J122" s="31"/>
    </row>
    <row r="123" spans="1:10">
      <c r="B123" s="26">
        <v>292</v>
      </c>
      <c r="C123" s="27" t="s">
        <v>56</v>
      </c>
      <c r="E123" s="28"/>
      <c r="F123" s="29"/>
      <c r="J123" s="31"/>
    </row>
    <row r="124" spans="1:10">
      <c r="A124" s="26">
        <v>52</v>
      </c>
      <c r="D124" s="27" t="s">
        <v>16</v>
      </c>
      <c r="E124" s="28">
        <v>26717</v>
      </c>
      <c r="F124" s="29"/>
      <c r="G124" s="28">
        <f>27518</f>
        <v>27518</v>
      </c>
      <c r="H124" s="28">
        <f>27518</f>
        <v>27518</v>
      </c>
      <c r="I124" s="28">
        <f>27518</f>
        <v>27518</v>
      </c>
      <c r="J124" s="31" t="s">
        <v>17</v>
      </c>
    </row>
    <row r="125" spans="1:10">
      <c r="A125" s="26">
        <v>53</v>
      </c>
      <c r="D125" s="27" t="s">
        <v>18</v>
      </c>
      <c r="E125" s="28">
        <v>2670</v>
      </c>
      <c r="F125" s="29"/>
      <c r="G125" s="28">
        <f>2670</f>
        <v>2670</v>
      </c>
      <c r="H125" s="28">
        <f>2670</f>
        <v>2670</v>
      </c>
      <c r="I125" s="28">
        <f>2670</f>
        <v>2670</v>
      </c>
      <c r="J125" s="31" t="s">
        <v>17</v>
      </c>
    </row>
    <row r="126" spans="1:10" ht="7.5" customHeight="1">
      <c r="B126" s="26"/>
      <c r="E126" s="28"/>
      <c r="F126" s="29"/>
      <c r="J126" s="31"/>
    </row>
    <row r="127" spans="1:10">
      <c r="B127" s="26">
        <v>294</v>
      </c>
      <c r="C127" s="27" t="s">
        <v>57</v>
      </c>
      <c r="E127" s="28"/>
      <c r="F127" s="29"/>
      <c r="J127" s="31"/>
    </row>
    <row r="128" spans="1:10">
      <c r="A128" s="26">
        <v>54</v>
      </c>
      <c r="D128" s="27" t="s">
        <v>16</v>
      </c>
      <c r="E128" s="28">
        <v>2687</v>
      </c>
      <c r="F128" s="29"/>
      <c r="G128" s="28">
        <f>2768</f>
        <v>2768</v>
      </c>
      <c r="H128" s="28">
        <f>2768</f>
        <v>2768</v>
      </c>
      <c r="I128" s="28">
        <f>2768</f>
        <v>2768</v>
      </c>
      <c r="J128" s="31" t="s">
        <v>17</v>
      </c>
    </row>
    <row r="129" spans="1:13">
      <c r="A129" s="26">
        <v>55</v>
      </c>
      <c r="D129" s="27" t="s">
        <v>18</v>
      </c>
      <c r="E129" s="28">
        <v>3500</v>
      </c>
      <c r="F129" s="29"/>
      <c r="G129" s="28">
        <f>3500</f>
        <v>3500</v>
      </c>
      <c r="H129" s="28">
        <f>3500</f>
        <v>3500</v>
      </c>
      <c r="I129" s="28">
        <f>3500</f>
        <v>3500</v>
      </c>
      <c r="J129" s="31" t="s">
        <v>17</v>
      </c>
    </row>
    <row r="130" spans="1:13" s="49" customFormat="1" ht="6" customHeight="1">
      <c r="A130" s="48"/>
      <c r="C130" s="45"/>
      <c r="D130" s="45"/>
      <c r="E130" s="39"/>
      <c r="F130" s="29"/>
      <c r="G130" s="39"/>
      <c r="H130" s="39"/>
      <c r="I130" s="39"/>
      <c r="J130" s="41"/>
    </row>
    <row r="131" spans="1:13" ht="6" customHeight="1">
      <c r="E131" s="28"/>
      <c r="F131" s="29"/>
      <c r="J131" s="31"/>
    </row>
    <row r="132" spans="1:13">
      <c r="D132" s="44" t="s">
        <v>58</v>
      </c>
      <c r="E132" s="39">
        <f>SUM(E87:E130)</f>
        <v>3802333</v>
      </c>
      <c r="F132" s="29"/>
      <c r="G132" s="39">
        <f>SUM(G87:G130)</f>
        <v>3929980</v>
      </c>
      <c r="H132" s="39">
        <f>SUM(H87:H130)</f>
        <v>3907831</v>
      </c>
      <c r="I132" s="39">
        <f>SUM(I87:I130)</f>
        <v>3907831</v>
      </c>
      <c r="J132" s="41"/>
    </row>
    <row r="133" spans="1:13" ht="12.75" customHeight="1">
      <c r="D133" s="18"/>
      <c r="E133" s="42"/>
      <c r="F133" s="29"/>
      <c r="G133" s="42"/>
      <c r="H133" s="42"/>
      <c r="I133" s="42"/>
      <c r="J133" s="41"/>
    </row>
    <row r="134" spans="1:13">
      <c r="B134" s="9" t="s">
        <v>59</v>
      </c>
      <c r="C134" s="18"/>
      <c r="E134" s="28"/>
      <c r="F134" s="29"/>
      <c r="J134" s="41"/>
    </row>
    <row r="135" spans="1:13">
      <c r="B135" s="26">
        <v>300</v>
      </c>
      <c r="C135" s="27" t="s">
        <v>60</v>
      </c>
      <c r="E135" s="28"/>
      <c r="F135" s="29"/>
      <c r="G135" s="30"/>
      <c r="H135" s="30"/>
      <c r="J135" s="41"/>
    </row>
    <row r="136" spans="1:13">
      <c r="A136" s="26">
        <v>56</v>
      </c>
      <c r="B136" s="26"/>
      <c r="D136" s="27" t="s">
        <v>61</v>
      </c>
      <c r="E136" s="28">
        <f>6919563+235766+36000</f>
        <v>7191329</v>
      </c>
      <c r="F136" s="29"/>
      <c r="G136" s="30">
        <v>7434498</v>
      </c>
      <c r="H136" s="30">
        <f>7013677+280530-70120</f>
        <v>7224087</v>
      </c>
      <c r="I136" s="30">
        <f>7013677+280530-70120</f>
        <v>7224087</v>
      </c>
      <c r="J136" s="31" t="s">
        <v>17</v>
      </c>
    </row>
    <row r="137" spans="1:13">
      <c r="A137" s="26">
        <v>57</v>
      </c>
      <c r="B137" s="26"/>
      <c r="D137" s="27" t="s">
        <v>62</v>
      </c>
      <c r="E137" s="28">
        <v>97587</v>
      </c>
      <c r="F137" s="29"/>
      <c r="G137" s="30">
        <v>89377</v>
      </c>
      <c r="H137" s="30">
        <v>89377</v>
      </c>
      <c r="I137" s="30">
        <v>89377</v>
      </c>
      <c r="J137" s="31" t="s">
        <v>17</v>
      </c>
    </row>
    <row r="138" spans="1:13">
      <c r="A138" s="26">
        <v>58</v>
      </c>
      <c r="B138" s="26"/>
      <c r="D138" s="27" t="s">
        <v>63</v>
      </c>
      <c r="E138" s="28">
        <v>450227</v>
      </c>
      <c r="F138" s="29"/>
      <c r="G138" s="30">
        <v>432037</v>
      </c>
      <c r="H138" s="30">
        <v>432037</v>
      </c>
      <c r="I138" s="30">
        <v>432037</v>
      </c>
      <c r="J138" s="31" t="s">
        <v>17</v>
      </c>
    </row>
    <row r="139" spans="1:13" ht="7.5" customHeight="1">
      <c r="B139" s="26"/>
      <c r="E139" s="28"/>
      <c r="F139" s="29"/>
      <c r="G139" s="30"/>
      <c r="H139" s="30"/>
      <c r="I139" s="30"/>
      <c r="J139" s="31"/>
    </row>
    <row r="140" spans="1:13">
      <c r="A140" s="26">
        <v>59</v>
      </c>
      <c r="B140" s="26">
        <v>330</v>
      </c>
      <c r="C140" s="45" t="s">
        <v>64</v>
      </c>
      <c r="E140" s="28">
        <v>667002</v>
      </c>
      <c r="F140" s="29"/>
      <c r="G140" s="30">
        <v>799881</v>
      </c>
      <c r="H140" s="30">
        <v>799881</v>
      </c>
      <c r="I140" s="30">
        <v>799881</v>
      </c>
      <c r="J140" s="31" t="s">
        <v>17</v>
      </c>
    </row>
    <row r="141" spans="1:13" ht="7.5" customHeight="1">
      <c r="B141" s="26"/>
      <c r="E141" s="28"/>
      <c r="F141" s="29"/>
      <c r="J141" s="31"/>
    </row>
    <row r="142" spans="1:13">
      <c r="A142" s="26">
        <v>60</v>
      </c>
      <c r="B142" s="26">
        <v>340</v>
      </c>
      <c r="C142" s="27" t="s">
        <v>65</v>
      </c>
      <c r="E142" s="28">
        <v>126200</v>
      </c>
      <c r="F142" s="29"/>
      <c r="G142" s="28">
        <f>131470+(3*22594)</f>
        <v>199252</v>
      </c>
      <c r="H142" s="28">
        <f>131470+(3*22594)</f>
        <v>199252</v>
      </c>
      <c r="I142" s="28">
        <f>131470+(3*22594)</f>
        <v>199252</v>
      </c>
      <c r="J142" s="31" t="s">
        <v>17</v>
      </c>
    </row>
    <row r="143" spans="1:13" s="49" customFormat="1" ht="6" customHeight="1">
      <c r="A143" s="48"/>
      <c r="B143" s="48"/>
      <c r="C143" s="45"/>
      <c r="D143" s="45"/>
      <c r="E143" s="39"/>
      <c r="F143" s="29"/>
      <c r="G143" s="39"/>
      <c r="H143" s="39"/>
      <c r="I143" s="39"/>
      <c r="J143" s="41"/>
      <c r="L143" s="1"/>
      <c r="M143" s="1"/>
    </row>
    <row r="144" spans="1:13" ht="6" customHeight="1">
      <c r="B144" s="26"/>
      <c r="E144" s="28"/>
      <c r="F144" s="29"/>
      <c r="J144" s="31"/>
    </row>
    <row r="145" spans="1:11">
      <c r="B145" s="26"/>
      <c r="D145" s="44" t="s">
        <v>66</v>
      </c>
      <c r="E145" s="39">
        <f>SUM(E135:E143)</f>
        <v>8532345</v>
      </c>
      <c r="F145" s="29"/>
      <c r="G145" s="39">
        <f>SUM(G135:G143)</f>
        <v>8955045</v>
      </c>
      <c r="H145" s="39">
        <f>SUM(H135:H143)</f>
        <v>8744634</v>
      </c>
      <c r="I145" s="39">
        <f>SUM(I135:I143)</f>
        <v>8744634</v>
      </c>
      <c r="J145" s="41"/>
    </row>
    <row r="146" spans="1:11" ht="12.75" customHeight="1">
      <c r="B146" s="26"/>
      <c r="D146" s="18"/>
      <c r="E146" s="42"/>
      <c r="F146" s="29"/>
      <c r="G146" s="42"/>
      <c r="H146" s="42"/>
      <c r="I146" s="42"/>
      <c r="J146" s="41"/>
    </row>
    <row r="147" spans="1:11">
      <c r="B147" s="9" t="s">
        <v>67</v>
      </c>
      <c r="C147" s="18"/>
      <c r="E147" s="42"/>
      <c r="F147" s="29"/>
      <c r="G147" s="42"/>
      <c r="H147" s="42"/>
      <c r="I147" s="42"/>
      <c r="J147" s="41"/>
    </row>
    <row r="148" spans="1:11">
      <c r="B148" s="26">
        <v>410</v>
      </c>
      <c r="C148" s="27" t="s">
        <v>68</v>
      </c>
      <c r="E148" s="28"/>
      <c r="F148" s="29"/>
      <c r="J148" s="31"/>
    </row>
    <row r="149" spans="1:11">
      <c r="A149" s="26">
        <v>61</v>
      </c>
      <c r="B149" s="26"/>
      <c r="D149" s="27" t="s">
        <v>18</v>
      </c>
      <c r="E149" s="28">
        <f>4000+12000</f>
        <v>16000</v>
      </c>
      <c r="F149" s="29"/>
      <c r="G149" s="28">
        <v>10000</v>
      </c>
      <c r="H149" s="28">
        <v>10000</v>
      </c>
      <c r="I149" s="28">
        <v>10000</v>
      </c>
      <c r="J149" s="31" t="s">
        <v>17</v>
      </c>
    </row>
    <row r="150" spans="1:11" ht="6" customHeight="1">
      <c r="B150" s="26"/>
      <c r="E150" s="28"/>
      <c r="F150" s="29"/>
      <c r="J150" s="31"/>
    </row>
    <row r="151" spans="1:11">
      <c r="B151" s="26">
        <v>420</v>
      </c>
      <c r="C151" s="27" t="s">
        <v>69</v>
      </c>
      <c r="E151" s="28"/>
      <c r="F151" s="29"/>
      <c r="J151" s="31"/>
    </row>
    <row r="152" spans="1:11">
      <c r="A152" s="26">
        <v>62</v>
      </c>
      <c r="B152" s="26"/>
      <c r="D152" s="27" t="s">
        <v>16</v>
      </c>
      <c r="E152" s="28">
        <v>351855</v>
      </c>
      <c r="F152" s="29"/>
      <c r="G152" s="28">
        <f>66950+291210</f>
        <v>358160</v>
      </c>
      <c r="H152" s="28">
        <f>66950+342510</f>
        <v>409460</v>
      </c>
      <c r="I152" s="28">
        <f>66950+342510</f>
        <v>409460</v>
      </c>
      <c r="J152" s="31" t="s">
        <v>17</v>
      </c>
    </row>
    <row r="153" spans="1:11">
      <c r="A153" s="26">
        <v>63</v>
      </c>
      <c r="B153" s="26"/>
      <c r="D153" s="27" t="s">
        <v>18</v>
      </c>
      <c r="E153" s="28">
        <f>92290+3000</f>
        <v>95290</v>
      </c>
      <c r="F153" s="29"/>
      <c r="G153" s="28">
        <f>50290+26000+19000</f>
        <v>95290</v>
      </c>
      <c r="H153" s="28">
        <f>50290+26000+19000</f>
        <v>95290</v>
      </c>
      <c r="I153" s="28">
        <f>50290+26000+19000</f>
        <v>95290</v>
      </c>
      <c r="J153" s="31" t="s">
        <v>17</v>
      </c>
    </row>
    <row r="154" spans="1:11">
      <c r="A154" s="26">
        <v>64</v>
      </c>
      <c r="B154" s="26"/>
      <c r="D154" s="27" t="s">
        <v>70</v>
      </c>
      <c r="E154" s="28">
        <v>120000</v>
      </c>
      <c r="F154" s="29"/>
      <c r="G154" s="28">
        <f>120000</f>
        <v>120000</v>
      </c>
      <c r="H154" s="28">
        <v>140000</v>
      </c>
      <c r="I154" s="28">
        <v>140000</v>
      </c>
      <c r="J154" s="31" t="s">
        <v>17</v>
      </c>
    </row>
    <row r="155" spans="1:11">
      <c r="A155" s="26">
        <v>65</v>
      </c>
      <c r="B155" s="26"/>
      <c r="D155" s="27" t="s">
        <v>71</v>
      </c>
      <c r="E155" s="28">
        <v>26000</v>
      </c>
      <c r="F155" s="29"/>
      <c r="G155" s="28">
        <f>26000</f>
        <v>26000</v>
      </c>
      <c r="H155" s="28">
        <f>26000</f>
        <v>26000</v>
      </c>
      <c r="I155" s="28">
        <f>26000</f>
        <v>26000</v>
      </c>
      <c r="J155" s="31" t="s">
        <v>17</v>
      </c>
      <c r="K155" s="50"/>
    </row>
    <row r="156" spans="1:11" ht="6" customHeight="1">
      <c r="B156" s="26"/>
      <c r="E156" s="28"/>
      <c r="F156" s="29"/>
      <c r="J156" s="31"/>
    </row>
    <row r="157" spans="1:11">
      <c r="B157" s="26">
        <v>424</v>
      </c>
      <c r="C157" s="27" t="s">
        <v>72</v>
      </c>
      <c r="E157" s="28"/>
      <c r="F157" s="33">
        <f>SUM(F152:F156)</f>
        <v>0</v>
      </c>
      <c r="J157" s="31"/>
      <c r="K157" s="50"/>
    </row>
    <row r="158" spans="1:11">
      <c r="A158" s="26">
        <v>66</v>
      </c>
      <c r="B158" s="26"/>
      <c r="D158" s="27" t="s">
        <v>18</v>
      </c>
      <c r="E158" s="28">
        <v>126000</v>
      </c>
      <c r="F158" s="29"/>
      <c r="G158" s="30">
        <f>154535</f>
        <v>154535</v>
      </c>
      <c r="H158" s="28">
        <v>120000</v>
      </c>
      <c r="I158" s="28">
        <v>120000</v>
      </c>
      <c r="J158" s="31" t="s">
        <v>17</v>
      </c>
    </row>
    <row r="159" spans="1:11" ht="6" customHeight="1">
      <c r="B159" s="26"/>
      <c r="E159" s="28"/>
      <c r="F159" s="29"/>
      <c r="J159" s="31"/>
    </row>
    <row r="160" spans="1:11">
      <c r="B160" s="26">
        <v>430</v>
      </c>
      <c r="C160" s="27" t="s">
        <v>73</v>
      </c>
      <c r="E160" s="28"/>
      <c r="F160" s="29"/>
      <c r="J160" s="31"/>
    </row>
    <row r="161" spans="1:10">
      <c r="A161" s="26">
        <v>67</v>
      </c>
      <c r="B161" s="26"/>
      <c r="D161" s="27" t="s">
        <v>16</v>
      </c>
      <c r="E161" s="28">
        <v>68899</v>
      </c>
      <c r="F161" s="29"/>
      <c r="G161" s="28">
        <f>44859+27229</f>
        <v>72088</v>
      </c>
      <c r="H161" s="28">
        <f>44859+43167</f>
        <v>88026</v>
      </c>
      <c r="I161" s="28">
        <f>44859+43167</f>
        <v>88026</v>
      </c>
      <c r="J161" s="31" t="s">
        <v>17</v>
      </c>
    </row>
    <row r="162" spans="1:10">
      <c r="A162" s="26">
        <v>68</v>
      </c>
      <c r="B162" s="26"/>
      <c r="D162" s="27" t="s">
        <v>18</v>
      </c>
      <c r="E162" s="28">
        <v>154473</v>
      </c>
      <c r="F162" s="29"/>
      <c r="G162" s="30">
        <f>5884+154417</f>
        <v>160301</v>
      </c>
      <c r="H162" s="28">
        <f>5884+160000</f>
        <v>165884</v>
      </c>
      <c r="I162" s="28">
        <f>5884+160000</f>
        <v>165884</v>
      </c>
      <c r="J162" s="31" t="s">
        <v>17</v>
      </c>
    </row>
    <row r="163" spans="1:10" ht="5.25" customHeight="1">
      <c r="B163" s="35"/>
      <c r="C163" s="36"/>
      <c r="E163" s="39"/>
      <c r="F163" s="29"/>
      <c r="G163" s="39"/>
      <c r="H163" s="39"/>
      <c r="I163" s="39"/>
      <c r="J163" s="41"/>
    </row>
    <row r="164" spans="1:10" ht="6" customHeight="1">
      <c r="E164" s="28"/>
      <c r="F164" s="29"/>
      <c r="J164" s="31"/>
    </row>
    <row r="165" spans="1:10">
      <c r="D165" s="44" t="s">
        <v>74</v>
      </c>
      <c r="E165" s="39">
        <f>SUM(E148:E163)</f>
        <v>958517</v>
      </c>
      <c r="F165" s="29"/>
      <c r="G165" s="39">
        <f>SUM(G148:G163)</f>
        <v>996374</v>
      </c>
      <c r="H165" s="39">
        <f>SUM(H148:H163)</f>
        <v>1054660</v>
      </c>
      <c r="I165" s="39">
        <f>SUM(I148:I163)</f>
        <v>1054660</v>
      </c>
      <c r="J165" s="41"/>
    </row>
    <row r="166" spans="1:10">
      <c r="B166" s="26"/>
      <c r="J166" s="8" t="s">
        <v>75</v>
      </c>
    </row>
    <row r="167" spans="1:10">
      <c r="B167" s="26"/>
    </row>
    <row r="168" spans="1:10">
      <c r="B168" s="9"/>
      <c r="E168" s="10"/>
      <c r="F168" s="11"/>
      <c r="G168" s="64" t="s">
        <v>3</v>
      </c>
      <c r="H168" s="64"/>
      <c r="I168" s="64"/>
      <c r="J168" s="12"/>
    </row>
    <row r="169" spans="1:10">
      <c r="B169" s="9"/>
      <c r="E169" s="13" t="s">
        <v>4</v>
      </c>
      <c r="F169" s="14"/>
      <c r="G169" s="15" t="s">
        <v>5</v>
      </c>
      <c r="H169" s="15" t="s">
        <v>6</v>
      </c>
      <c r="I169" s="15" t="s">
        <v>7</v>
      </c>
      <c r="J169" s="16"/>
    </row>
    <row r="170" spans="1:10">
      <c r="A170" s="17" t="s">
        <v>8</v>
      </c>
      <c r="C170" s="18"/>
      <c r="E170" s="19" t="s">
        <v>9</v>
      </c>
      <c r="F170" s="14"/>
      <c r="G170" s="20" t="s">
        <v>10</v>
      </c>
      <c r="H170" s="20" t="s">
        <v>11</v>
      </c>
      <c r="I170" s="21" t="s">
        <v>12</v>
      </c>
      <c r="J170" s="22" t="s">
        <v>13</v>
      </c>
    </row>
    <row r="171" spans="1:10">
      <c r="A171" s="17"/>
      <c r="C171" s="18"/>
      <c r="E171" s="23"/>
      <c r="F171" s="14"/>
      <c r="G171" s="23"/>
      <c r="H171" s="23"/>
      <c r="I171" s="24"/>
      <c r="J171" s="51"/>
    </row>
    <row r="172" spans="1:10">
      <c r="B172" s="9" t="s">
        <v>76</v>
      </c>
      <c r="E172" s="28"/>
      <c r="F172" s="29"/>
      <c r="J172" s="31"/>
    </row>
    <row r="173" spans="1:10">
      <c r="B173" s="26">
        <v>511</v>
      </c>
      <c r="C173" s="27" t="s">
        <v>77</v>
      </c>
      <c r="E173" s="28"/>
      <c r="F173" s="29"/>
      <c r="J173" s="31"/>
    </row>
    <row r="174" spans="1:10">
      <c r="A174" s="26">
        <v>69</v>
      </c>
      <c r="B174" s="26"/>
      <c r="D174" s="27" t="s">
        <v>16</v>
      </c>
      <c r="E174" s="28">
        <v>90634</v>
      </c>
      <c r="F174" s="29"/>
      <c r="G174" s="28">
        <f>58500+35389</f>
        <v>93889</v>
      </c>
      <c r="H174" s="28">
        <f>53500+35389</f>
        <v>88889</v>
      </c>
      <c r="I174" s="28">
        <f>53500+35389</f>
        <v>88889</v>
      </c>
      <c r="J174" s="31" t="s">
        <v>17</v>
      </c>
    </row>
    <row r="175" spans="1:10" s="32" customFormat="1">
      <c r="A175" s="37">
        <v>70</v>
      </c>
      <c r="B175" s="37"/>
      <c r="C175" s="27"/>
      <c r="D175" s="27" t="s">
        <v>18</v>
      </c>
      <c r="E175" s="52">
        <v>3730</v>
      </c>
      <c r="F175" s="53"/>
      <c r="G175" s="28">
        <f>4360</f>
        <v>4360</v>
      </c>
      <c r="H175" s="28">
        <f>4360</f>
        <v>4360</v>
      </c>
      <c r="I175" s="28">
        <v>4360</v>
      </c>
      <c r="J175" s="31" t="s">
        <v>17</v>
      </c>
    </row>
    <row r="176" spans="1:10">
      <c r="A176" s="26">
        <v>71</v>
      </c>
      <c r="B176" s="26"/>
      <c r="D176" s="27" t="s">
        <v>78</v>
      </c>
      <c r="E176" s="28">
        <v>250</v>
      </c>
      <c r="F176" s="29"/>
      <c r="G176" s="28">
        <f>1500</f>
        <v>1500</v>
      </c>
      <c r="H176" s="28">
        <f>1500</f>
        <v>1500</v>
      </c>
      <c r="I176" s="28">
        <f>1500-1000</f>
        <v>500</v>
      </c>
      <c r="J176" s="31" t="s">
        <v>17</v>
      </c>
    </row>
    <row r="177" spans="1:10" ht="7.5" customHeight="1">
      <c r="B177" s="26"/>
      <c r="E177" s="28"/>
      <c r="F177" s="29"/>
      <c r="J177" s="31"/>
    </row>
    <row r="178" spans="1:10">
      <c r="B178" s="26">
        <v>541</v>
      </c>
      <c r="C178" s="27" t="s">
        <v>79</v>
      </c>
      <c r="E178" s="28"/>
      <c r="F178" s="29"/>
      <c r="J178" s="31"/>
    </row>
    <row r="179" spans="1:10">
      <c r="A179" s="26">
        <v>72</v>
      </c>
      <c r="D179" s="27" t="s">
        <v>16</v>
      </c>
      <c r="E179" s="28">
        <v>48182</v>
      </c>
      <c r="F179" s="29"/>
      <c r="G179" s="28">
        <f>49628</f>
        <v>49628</v>
      </c>
      <c r="H179" s="28">
        <f>49628</f>
        <v>49628</v>
      </c>
      <c r="I179" s="28">
        <f>49628</f>
        <v>49628</v>
      </c>
      <c r="J179" s="31" t="s">
        <v>17</v>
      </c>
    </row>
    <row r="180" spans="1:10">
      <c r="A180" s="26">
        <v>73</v>
      </c>
      <c r="D180" s="27" t="s">
        <v>18</v>
      </c>
      <c r="E180" s="28">
        <v>8719</v>
      </c>
      <c r="F180" s="29"/>
      <c r="G180" s="28">
        <f>8719</f>
        <v>8719</v>
      </c>
      <c r="H180" s="28">
        <f>8719</f>
        <v>8719</v>
      </c>
      <c r="I180" s="28">
        <f>8719</f>
        <v>8719</v>
      </c>
      <c r="J180" s="31" t="s">
        <v>17</v>
      </c>
    </row>
    <row r="181" spans="1:10">
      <c r="A181" s="26">
        <v>74</v>
      </c>
      <c r="D181" s="27" t="s">
        <v>78</v>
      </c>
      <c r="E181" s="28">
        <v>6400</v>
      </c>
      <c r="F181" s="29"/>
      <c r="G181" s="28">
        <f>7800</f>
        <v>7800</v>
      </c>
      <c r="H181" s="28">
        <f>7800</f>
        <v>7800</v>
      </c>
      <c r="I181" s="28">
        <f>7800</f>
        <v>7800</v>
      </c>
      <c r="J181" s="31" t="s">
        <v>17</v>
      </c>
    </row>
    <row r="182" spans="1:10" ht="7.5" customHeight="1">
      <c r="E182" s="28"/>
      <c r="F182" s="29"/>
      <c r="J182" s="31"/>
    </row>
    <row r="183" spans="1:10">
      <c r="B183" s="26">
        <v>543</v>
      </c>
      <c r="C183" s="27" t="s">
        <v>80</v>
      </c>
      <c r="E183" s="28"/>
      <c r="F183" s="29"/>
      <c r="J183" s="31"/>
    </row>
    <row r="184" spans="1:10">
      <c r="A184" s="26">
        <v>75</v>
      </c>
      <c r="D184" s="27" t="s">
        <v>16</v>
      </c>
      <c r="E184" s="28">
        <v>13562</v>
      </c>
      <c r="F184" s="29"/>
      <c r="G184" s="28">
        <f>13970</f>
        <v>13970</v>
      </c>
      <c r="H184" s="28">
        <f>13970</f>
        <v>13970</v>
      </c>
      <c r="I184" s="28">
        <f>13970</f>
        <v>13970</v>
      </c>
      <c r="J184" s="31" t="s">
        <v>17</v>
      </c>
    </row>
    <row r="185" spans="1:10">
      <c r="A185" s="26">
        <v>76</v>
      </c>
      <c r="D185" s="27" t="s">
        <v>18</v>
      </c>
      <c r="E185" s="28">
        <v>500</v>
      </c>
      <c r="F185" s="29"/>
      <c r="G185" s="28">
        <f>900</f>
        <v>900</v>
      </c>
      <c r="H185" s="28">
        <f>900</f>
        <v>900</v>
      </c>
      <c r="I185" s="28">
        <f>900</f>
        <v>900</v>
      </c>
      <c r="J185" s="31" t="s">
        <v>17</v>
      </c>
    </row>
    <row r="186" spans="1:10">
      <c r="A186" s="26">
        <v>77</v>
      </c>
      <c r="D186" s="27" t="s">
        <v>81</v>
      </c>
      <c r="E186" s="28">
        <v>40000</v>
      </c>
      <c r="F186" s="29"/>
      <c r="G186" s="28">
        <f>42500</f>
        <v>42500</v>
      </c>
      <c r="H186" s="28">
        <f>42500</f>
        <v>42500</v>
      </c>
      <c r="I186" s="28">
        <f>42500</f>
        <v>42500</v>
      </c>
      <c r="J186" s="31" t="s">
        <v>17</v>
      </c>
    </row>
    <row r="187" spans="1:10" ht="7.5" customHeight="1">
      <c r="E187" s="28"/>
      <c r="F187" s="29"/>
      <c r="J187" s="31"/>
    </row>
    <row r="188" spans="1:10">
      <c r="B188" s="26">
        <v>544</v>
      </c>
      <c r="C188" s="27" t="s">
        <v>82</v>
      </c>
      <c r="E188" s="28"/>
      <c r="F188" s="29"/>
      <c r="J188" s="31"/>
    </row>
    <row r="189" spans="1:10">
      <c r="A189" s="26">
        <v>78</v>
      </c>
      <c r="D189" s="27" t="s">
        <v>18</v>
      </c>
      <c r="E189" s="28">
        <v>1500</v>
      </c>
      <c r="F189" s="29"/>
      <c r="G189" s="28">
        <f>1500</f>
        <v>1500</v>
      </c>
      <c r="H189" s="28">
        <f>1500</f>
        <v>1500</v>
      </c>
      <c r="I189" s="28">
        <f>1500</f>
        <v>1500</v>
      </c>
      <c r="J189" s="31" t="s">
        <v>17</v>
      </c>
    </row>
    <row r="190" spans="1:10" ht="6" customHeight="1">
      <c r="E190" s="39"/>
      <c r="F190" s="29"/>
      <c r="G190" s="39"/>
      <c r="H190" s="39"/>
      <c r="I190" s="39"/>
      <c r="J190" s="41"/>
    </row>
    <row r="191" spans="1:10" ht="4.5" customHeight="1">
      <c r="D191" s="18"/>
      <c r="E191" s="28"/>
      <c r="F191" s="29"/>
      <c r="J191" s="31"/>
    </row>
    <row r="192" spans="1:10">
      <c r="D192" s="44" t="s">
        <v>83</v>
      </c>
      <c r="E192" s="39">
        <f>SUM(E173:E190)</f>
        <v>213477</v>
      </c>
      <c r="F192" s="29"/>
      <c r="G192" s="39">
        <f>SUM(G173:G190)</f>
        <v>224766</v>
      </c>
      <c r="H192" s="39">
        <f>SUM(H173:H190)</f>
        <v>219766</v>
      </c>
      <c r="I192" s="39">
        <f>SUM(I173:I190)</f>
        <v>218766</v>
      </c>
      <c r="J192" s="41"/>
    </row>
    <row r="193" spans="1:10" ht="12.75" customHeight="1">
      <c r="D193" s="18"/>
      <c r="E193" s="42"/>
      <c r="F193" s="29"/>
      <c r="G193" s="42"/>
      <c r="H193" s="42"/>
      <c r="I193" s="42"/>
      <c r="J193" s="41"/>
    </row>
    <row r="194" spans="1:10" ht="12.75" customHeight="1">
      <c r="D194" s="18"/>
      <c r="E194" s="42"/>
      <c r="F194" s="29"/>
      <c r="G194" s="42"/>
      <c r="H194" s="42"/>
      <c r="I194" s="42"/>
      <c r="J194" s="41"/>
    </row>
    <row r="195" spans="1:10">
      <c r="B195" s="9" t="s">
        <v>84</v>
      </c>
      <c r="C195" s="18"/>
      <c r="E195" s="42"/>
      <c r="F195" s="29"/>
      <c r="G195" s="42"/>
      <c r="H195" s="42"/>
      <c r="I195" s="42"/>
      <c r="J195" s="41"/>
    </row>
    <row r="196" spans="1:10">
      <c r="B196" s="26">
        <v>610</v>
      </c>
      <c r="C196" s="27" t="s">
        <v>85</v>
      </c>
      <c r="E196" s="28"/>
      <c r="F196" s="29"/>
      <c r="J196" s="31"/>
    </row>
    <row r="197" spans="1:10">
      <c r="A197" s="26">
        <v>79</v>
      </c>
      <c r="B197" s="26"/>
      <c r="D197" s="27" t="s">
        <v>16</v>
      </c>
      <c r="E197" s="28">
        <v>200291</v>
      </c>
      <c r="F197" s="29"/>
      <c r="G197" s="30">
        <f>61667+104201+94938</f>
        <v>260806</v>
      </c>
      <c r="H197" s="30">
        <f>61667+89257+90900</f>
        <v>241824</v>
      </c>
      <c r="I197" s="30">
        <f>61667+89257+90900</f>
        <v>241824</v>
      </c>
      <c r="J197" s="31" t="s">
        <v>17</v>
      </c>
    </row>
    <row r="198" spans="1:10">
      <c r="A198" s="26">
        <v>80</v>
      </c>
      <c r="B198" s="26"/>
      <c r="D198" s="27" t="s">
        <v>18</v>
      </c>
      <c r="E198" s="28">
        <v>116898</v>
      </c>
      <c r="F198" s="29"/>
      <c r="G198" s="28">
        <f>104539+12500</f>
        <v>117039</v>
      </c>
      <c r="H198" s="28">
        <f>105539+12500</f>
        <v>118039</v>
      </c>
      <c r="I198" s="28">
        <f>105539+12500</f>
        <v>118039</v>
      </c>
      <c r="J198" s="31" t="s">
        <v>17</v>
      </c>
    </row>
    <row r="199" spans="1:10" ht="6" customHeight="1">
      <c r="B199" s="26"/>
      <c r="E199" s="28"/>
      <c r="F199" s="29"/>
      <c r="J199" s="31"/>
    </row>
    <row r="200" spans="1:10">
      <c r="B200" s="26">
        <v>630</v>
      </c>
      <c r="C200" s="27" t="s">
        <v>86</v>
      </c>
      <c r="E200" s="28"/>
      <c r="F200" s="29"/>
      <c r="J200" s="31"/>
    </row>
    <row r="201" spans="1:10">
      <c r="A201" s="26">
        <v>81</v>
      </c>
      <c r="B201" s="26"/>
      <c r="D201" s="27" t="s">
        <v>16</v>
      </c>
      <c r="E201" s="28">
        <v>31941</v>
      </c>
      <c r="F201" s="29"/>
      <c r="G201" s="28">
        <f>32544</f>
        <v>32544</v>
      </c>
      <c r="H201" s="28">
        <v>30000</v>
      </c>
      <c r="I201" s="28">
        <v>30000</v>
      </c>
      <c r="J201" s="31" t="s">
        <v>17</v>
      </c>
    </row>
    <row r="202" spans="1:10" ht="6" customHeight="1">
      <c r="B202" s="26"/>
      <c r="E202" s="28"/>
      <c r="F202" s="29"/>
      <c r="J202" s="31"/>
    </row>
    <row r="203" spans="1:10">
      <c r="B203" s="26">
        <v>650</v>
      </c>
      <c r="C203" s="27" t="s">
        <v>87</v>
      </c>
      <c r="E203" s="28"/>
      <c r="F203" s="29"/>
      <c r="J203" s="31"/>
    </row>
    <row r="204" spans="1:10">
      <c r="A204" s="26">
        <v>82</v>
      </c>
      <c r="B204" s="26"/>
      <c r="D204" s="27" t="s">
        <v>18</v>
      </c>
      <c r="E204" s="28">
        <v>9000</v>
      </c>
      <c r="F204" s="29"/>
      <c r="G204" s="28">
        <f>10000</f>
        <v>10000</v>
      </c>
      <c r="H204" s="28">
        <v>10000</v>
      </c>
      <c r="I204" s="28">
        <v>10000</v>
      </c>
      <c r="J204" s="31" t="s">
        <v>17</v>
      </c>
    </row>
    <row r="205" spans="1:10" ht="6" customHeight="1">
      <c r="B205" s="26"/>
      <c r="E205" s="28"/>
      <c r="F205" s="29"/>
      <c r="J205" s="31"/>
    </row>
    <row r="206" spans="1:10">
      <c r="A206" s="26">
        <v>83</v>
      </c>
      <c r="B206" s="26">
        <v>692</v>
      </c>
      <c r="C206" s="27" t="s">
        <v>88</v>
      </c>
      <c r="E206" s="28">
        <v>2000</v>
      </c>
      <c r="F206" s="29"/>
      <c r="G206" s="28">
        <f>2000</f>
        <v>2000</v>
      </c>
      <c r="H206" s="28">
        <v>2000</v>
      </c>
      <c r="I206" s="28">
        <v>2000</v>
      </c>
      <c r="J206" s="31" t="s">
        <v>17</v>
      </c>
    </row>
    <row r="207" spans="1:10" ht="6" customHeight="1">
      <c r="B207" s="26"/>
      <c r="E207" s="39"/>
      <c r="F207" s="29"/>
      <c r="G207" s="39"/>
      <c r="H207" s="39"/>
      <c r="I207" s="39"/>
      <c r="J207" s="41"/>
    </row>
    <row r="208" spans="1:10" ht="9" customHeight="1">
      <c r="B208" s="26"/>
      <c r="E208" s="28"/>
      <c r="F208" s="29"/>
      <c r="J208" s="31"/>
    </row>
    <row r="209" spans="1:10">
      <c r="D209" s="44" t="s">
        <v>89</v>
      </c>
      <c r="E209" s="39">
        <f>SUM(E196:E207)</f>
        <v>360130</v>
      </c>
      <c r="F209" s="29"/>
      <c r="G209" s="39">
        <f>SUM(G196:G207)</f>
        <v>422389</v>
      </c>
      <c r="H209" s="39">
        <f>SUM(H196:H207)</f>
        <v>401863</v>
      </c>
      <c r="I209" s="39">
        <f>SUM(I196:I207)</f>
        <v>401863</v>
      </c>
      <c r="J209" s="41"/>
    </row>
    <row r="210" spans="1:10">
      <c r="D210" s="18"/>
      <c r="E210" s="42"/>
      <c r="F210" s="29"/>
      <c r="G210" s="42"/>
      <c r="H210" s="42"/>
      <c r="I210" s="42"/>
      <c r="J210" s="41"/>
    </row>
    <row r="211" spans="1:10">
      <c r="D211" s="18"/>
      <c r="E211" s="42"/>
      <c r="F211" s="29"/>
      <c r="G211" s="42"/>
      <c r="H211" s="42"/>
      <c r="I211" s="42"/>
      <c r="J211" s="41"/>
    </row>
    <row r="212" spans="1:10">
      <c r="B212" s="9" t="s">
        <v>90</v>
      </c>
      <c r="D212" s="18"/>
      <c r="E212" s="28"/>
      <c r="F212" s="29"/>
      <c r="G212" s="30"/>
      <c r="H212" s="30"/>
      <c r="I212" s="30"/>
      <c r="J212" s="46"/>
    </row>
    <row r="213" spans="1:10">
      <c r="B213" s="26">
        <v>710</v>
      </c>
      <c r="C213" s="27" t="s">
        <v>91</v>
      </c>
      <c r="E213" s="28"/>
      <c r="F213" s="29"/>
      <c r="G213" s="30"/>
      <c r="H213" s="30"/>
      <c r="I213" s="30"/>
      <c r="J213" s="46"/>
    </row>
    <row r="214" spans="1:10">
      <c r="A214" s="26">
        <v>84</v>
      </c>
      <c r="B214" s="26"/>
      <c r="D214" s="27" t="s">
        <v>92</v>
      </c>
      <c r="E214" s="28">
        <v>489832</v>
      </c>
      <c r="F214" s="29"/>
      <c r="G214" s="30">
        <f>205217+280000+17500</f>
        <v>502717</v>
      </c>
      <c r="H214" s="30">
        <f>205217+280000+17500</f>
        <v>502717</v>
      </c>
      <c r="I214" s="30">
        <f>205217+280000+17500</f>
        <v>502717</v>
      </c>
      <c r="J214" s="46" t="s">
        <v>93</v>
      </c>
    </row>
    <row r="215" spans="1:10" ht="15">
      <c r="B215" s="26"/>
      <c r="E215" s="28"/>
      <c r="F215" s="29"/>
      <c r="G215" s="30"/>
      <c r="H215" s="30"/>
      <c r="I215" s="30"/>
      <c r="J215" s="54" t="s">
        <v>94</v>
      </c>
    </row>
    <row r="216" spans="1:10">
      <c r="A216" s="26">
        <v>85</v>
      </c>
      <c r="B216" s="26"/>
      <c r="D216" s="27" t="s">
        <v>95</v>
      </c>
      <c r="E216" s="30">
        <v>181675</v>
      </c>
      <c r="F216" s="29"/>
      <c r="G216" s="30">
        <f>25262+140900</f>
        <v>166162</v>
      </c>
      <c r="H216" s="30">
        <f>25262+140900</f>
        <v>166162</v>
      </c>
      <c r="I216" s="30">
        <f>25262+140900</f>
        <v>166162</v>
      </c>
      <c r="J216" s="46" t="s">
        <v>96</v>
      </c>
    </row>
    <row r="217" spans="1:10">
      <c r="B217" s="26"/>
      <c r="E217" s="28"/>
      <c r="F217" s="29"/>
      <c r="G217" s="30"/>
      <c r="H217" s="30"/>
      <c r="I217" s="30"/>
      <c r="J217" s="55" t="s">
        <v>97</v>
      </c>
    </row>
    <row r="218" spans="1:10" ht="6" customHeight="1">
      <c r="B218" s="26"/>
      <c r="E218" s="28"/>
      <c r="F218" s="29"/>
      <c r="G218" s="30"/>
      <c r="H218" s="30"/>
      <c r="I218" s="30"/>
      <c r="J218" s="46"/>
    </row>
    <row r="219" spans="1:10">
      <c r="A219" s="26">
        <v>86</v>
      </c>
      <c r="B219" s="26">
        <v>911</v>
      </c>
      <c r="C219" s="27" t="s">
        <v>98</v>
      </c>
      <c r="E219" s="28">
        <v>1065729</v>
      </c>
      <c r="F219" s="29"/>
      <c r="G219" s="30">
        <f>1109316</f>
        <v>1109316</v>
      </c>
      <c r="H219" s="30">
        <f>1109316</f>
        <v>1109316</v>
      </c>
      <c r="I219" s="30">
        <f>1109316</f>
        <v>1109316</v>
      </c>
      <c r="J219" s="46" t="s">
        <v>17</v>
      </c>
    </row>
    <row r="220" spans="1:10" ht="6" customHeight="1">
      <c r="B220" s="26"/>
      <c r="E220" s="28"/>
      <c r="F220" s="29"/>
      <c r="G220" s="30"/>
      <c r="H220" s="30"/>
      <c r="I220" s="30"/>
      <c r="J220" s="46"/>
    </row>
    <row r="221" spans="1:10">
      <c r="A221" s="26">
        <v>87</v>
      </c>
      <c r="B221" s="26">
        <v>913</v>
      </c>
      <c r="C221" s="27" t="s">
        <v>99</v>
      </c>
      <c r="E221" s="28">
        <v>25000</v>
      </c>
      <c r="F221" s="29"/>
      <c r="G221" s="30">
        <f>25000</f>
        <v>25000</v>
      </c>
      <c r="H221" s="30">
        <f>25000</f>
        <v>25000</v>
      </c>
      <c r="I221" s="30">
        <f>25000</f>
        <v>25000</v>
      </c>
      <c r="J221" s="46" t="s">
        <v>17</v>
      </c>
    </row>
    <row r="222" spans="1:10" ht="6" customHeight="1">
      <c r="B222" s="26"/>
      <c r="E222" s="28"/>
      <c r="F222" s="29"/>
      <c r="G222" s="30"/>
      <c r="H222" s="30"/>
      <c r="I222" s="30"/>
      <c r="J222" s="46"/>
    </row>
    <row r="223" spans="1:10">
      <c r="A223" s="26">
        <v>88</v>
      </c>
      <c r="B223" s="26">
        <v>914</v>
      </c>
      <c r="C223" s="27" t="s">
        <v>100</v>
      </c>
      <c r="E223" s="28">
        <f>1433500+8500</f>
        <v>1442000</v>
      </c>
      <c r="F223" s="29"/>
      <c r="G223" s="30">
        <v>1575390</v>
      </c>
      <c r="H223" s="30">
        <f>1575390-133367</f>
        <v>1442023</v>
      </c>
      <c r="I223" s="30">
        <f>1575390-133367</f>
        <v>1442023</v>
      </c>
      <c r="J223" s="46" t="s">
        <v>17</v>
      </c>
    </row>
    <row r="224" spans="1:10" ht="6" customHeight="1">
      <c r="B224" s="26"/>
      <c r="E224" s="28"/>
      <c r="F224" s="29"/>
      <c r="G224" s="30"/>
      <c r="H224" s="30"/>
      <c r="I224" s="30"/>
      <c r="J224" s="46"/>
    </row>
    <row r="225" spans="1:10">
      <c r="A225" s="26">
        <v>89</v>
      </c>
      <c r="B225" s="26">
        <v>945</v>
      </c>
      <c r="C225" s="27" t="s">
        <v>101</v>
      </c>
      <c r="E225" s="28">
        <v>252819</v>
      </c>
      <c r="F225" s="29"/>
      <c r="G225" s="30">
        <f>252819</f>
        <v>252819</v>
      </c>
      <c r="H225" s="30">
        <f>252819</f>
        <v>252819</v>
      </c>
      <c r="I225" s="30">
        <f>252819</f>
        <v>252819</v>
      </c>
      <c r="J225" s="46" t="s">
        <v>17</v>
      </c>
    </row>
    <row r="226" spans="1:10" ht="6" customHeight="1">
      <c r="B226" s="26"/>
      <c r="E226" s="39"/>
      <c r="F226" s="29"/>
      <c r="G226" s="39"/>
      <c r="H226" s="39"/>
      <c r="I226" s="39"/>
      <c r="J226" s="41"/>
    </row>
    <row r="227" spans="1:10" ht="6.75" customHeight="1">
      <c r="E227" s="28"/>
      <c r="F227" s="29"/>
      <c r="J227" s="31"/>
    </row>
    <row r="228" spans="1:10">
      <c r="D228" s="44" t="s">
        <v>102</v>
      </c>
      <c r="E228" s="39">
        <f>SUM(E213:E226)</f>
        <v>3457055</v>
      </c>
      <c r="F228" s="29"/>
      <c r="G228" s="39">
        <f>SUM(G213:G226)</f>
        <v>3631404</v>
      </c>
      <c r="H228" s="39">
        <f>SUM(H213:H226)</f>
        <v>3498037</v>
      </c>
      <c r="I228" s="39">
        <f>SUM(I213:I226)</f>
        <v>3498037</v>
      </c>
      <c r="J228" s="41"/>
    </row>
    <row r="229" spans="1:10">
      <c r="D229" s="44"/>
      <c r="E229" s="42"/>
      <c r="F229" s="29"/>
      <c r="G229" s="42"/>
      <c r="H229" s="42"/>
      <c r="I229" s="42"/>
      <c r="J229" s="41"/>
    </row>
    <row r="230" spans="1:10" ht="16.5" thickBot="1">
      <c r="D230" s="56" t="s">
        <v>103</v>
      </c>
      <c r="E230" s="57">
        <f>E80+E132+E145+E165+E192+E209+E228</f>
        <v>18664834</v>
      </c>
      <c r="F230" s="29"/>
      <c r="G230" s="57">
        <f>G80+G132+G145+G165+G192+G209+G228</f>
        <v>19505604</v>
      </c>
      <c r="H230" s="57">
        <f>H80+H132+H145+H165+H192+H209+H228</f>
        <v>19212092</v>
      </c>
      <c r="I230" s="57">
        <f>I80+I132+I145+I165+I192+I209+I228</f>
        <v>19211092</v>
      </c>
      <c r="J230" s="41"/>
    </row>
    <row r="231" spans="1:10" ht="13.5" thickTop="1">
      <c r="D231" s="44"/>
      <c r="E231" s="42"/>
      <c r="F231" s="29"/>
      <c r="G231" s="60"/>
      <c r="H231" s="60"/>
      <c r="I231" s="60"/>
      <c r="J231" s="41"/>
    </row>
    <row r="232" spans="1:10">
      <c r="B232" s="9" t="s">
        <v>104</v>
      </c>
      <c r="C232" s="18"/>
      <c r="E232" s="23"/>
      <c r="F232" s="58"/>
      <c r="G232" s="24"/>
      <c r="H232" s="24"/>
      <c r="I232" s="24"/>
      <c r="J232" s="59"/>
    </row>
    <row r="233" spans="1:10">
      <c r="A233" s="26">
        <v>90</v>
      </c>
      <c r="D233" s="27" t="s">
        <v>16</v>
      </c>
      <c r="E233" s="28">
        <f>345860+13000</f>
        <v>358860</v>
      </c>
      <c r="F233" s="29"/>
      <c r="G233" s="30">
        <f>80133+288286</f>
        <v>368419</v>
      </c>
      <c r="H233" s="30">
        <f>80133+288286</f>
        <v>368419</v>
      </c>
      <c r="I233" s="30">
        <f>80133+288286</f>
        <v>368419</v>
      </c>
      <c r="J233" s="31" t="s">
        <v>105</v>
      </c>
    </row>
    <row r="234" spans="1:10">
      <c r="A234" s="26">
        <v>91</v>
      </c>
      <c r="D234" s="27" t="s">
        <v>18</v>
      </c>
      <c r="E234" s="28">
        <f>338980-13000+40000</f>
        <v>365980</v>
      </c>
      <c r="F234" s="29"/>
      <c r="G234" s="30">
        <f>335650+10000</f>
        <v>345650</v>
      </c>
      <c r="H234" s="30">
        <f>335650+10000</f>
        <v>345650</v>
      </c>
      <c r="I234" s="30">
        <f>335650+10000</f>
        <v>345650</v>
      </c>
      <c r="J234" s="31" t="s">
        <v>105</v>
      </c>
    </row>
    <row r="235" spans="1:10">
      <c r="A235" s="26">
        <v>92</v>
      </c>
      <c r="D235" s="27" t="s">
        <v>106</v>
      </c>
      <c r="E235" s="28">
        <v>211520</v>
      </c>
      <c r="F235" s="29"/>
      <c r="G235" s="30">
        <f>205021</f>
        <v>205021</v>
      </c>
      <c r="H235" s="30">
        <f>205021</f>
        <v>205021</v>
      </c>
      <c r="I235" s="30">
        <f>205021</f>
        <v>205021</v>
      </c>
      <c r="J235" s="31" t="s">
        <v>105</v>
      </c>
    </row>
    <row r="236" spans="1:10">
      <c r="A236" s="26">
        <v>93</v>
      </c>
      <c r="D236" s="27" t="s">
        <v>107</v>
      </c>
      <c r="E236" s="28">
        <v>140156</v>
      </c>
      <c r="F236" s="29"/>
      <c r="G236" s="30">
        <f>140000</f>
        <v>140000</v>
      </c>
      <c r="H236" s="30">
        <f>140000</f>
        <v>140000</v>
      </c>
      <c r="I236" s="30">
        <f>140000</f>
        <v>140000</v>
      </c>
      <c r="J236" s="31" t="s">
        <v>105</v>
      </c>
    </row>
    <row r="237" spans="1:10" ht="6" customHeight="1">
      <c r="E237" s="39"/>
      <c r="F237" s="29"/>
      <c r="G237" s="40"/>
      <c r="H237" s="40"/>
      <c r="I237" s="40"/>
      <c r="J237" s="41"/>
    </row>
    <row r="238" spans="1:10">
      <c r="E238" s="28"/>
      <c r="F238" s="29"/>
      <c r="G238" s="62"/>
      <c r="H238" s="62"/>
      <c r="I238" s="62"/>
      <c r="J238" s="31"/>
    </row>
    <row r="239" spans="1:10">
      <c r="D239" s="44" t="s">
        <v>108</v>
      </c>
      <c r="E239" s="39">
        <f>SUM(E233:E237)</f>
        <v>1076516</v>
      </c>
      <c r="F239" s="29"/>
      <c r="G239" s="40">
        <f>SUM(G233:G237)</f>
        <v>1059090</v>
      </c>
      <c r="H239" s="40">
        <f>SUM(H233:H237)</f>
        <v>1059090</v>
      </c>
      <c r="I239" s="40">
        <f>SUM(I233:I237)</f>
        <v>1059090</v>
      </c>
      <c r="J239" s="41"/>
    </row>
    <row r="240" spans="1:10">
      <c r="D240" s="44"/>
      <c r="E240" s="42"/>
      <c r="F240" s="29"/>
      <c r="G240" s="60"/>
      <c r="H240" s="60"/>
      <c r="I240" s="60"/>
      <c r="J240" s="41"/>
    </row>
    <row r="241" spans="4:10">
      <c r="D241" s="44"/>
      <c r="E241" s="42"/>
      <c r="F241" s="29"/>
      <c r="G241" s="60"/>
      <c r="H241" s="60"/>
      <c r="I241" s="60"/>
      <c r="J241" s="41"/>
    </row>
    <row r="242" spans="4:10" ht="16.5" thickBot="1">
      <c r="D242" s="61" t="s">
        <v>109</v>
      </c>
      <c r="E242" s="57">
        <f>E230+E239</f>
        <v>19741350</v>
      </c>
      <c r="F242" s="29"/>
      <c r="G242" s="63">
        <f>G230+G239</f>
        <v>20564694</v>
      </c>
      <c r="H242" s="63">
        <f>H230+H239</f>
        <v>20271182</v>
      </c>
      <c r="I242" s="63">
        <f>I230+I239</f>
        <v>20270182</v>
      </c>
      <c r="J242" s="41"/>
    </row>
    <row r="243" spans="4:10" ht="13.5" thickTop="1">
      <c r="D243" s="44"/>
      <c r="E243" s="29"/>
      <c r="F243" s="29"/>
      <c r="G243" s="60"/>
      <c r="H243" s="60"/>
      <c r="I243" s="60"/>
      <c r="J243" s="41"/>
    </row>
    <row r="244" spans="4:10">
      <c r="D244" s="44"/>
      <c r="E244" s="29"/>
      <c r="F244" s="29"/>
      <c r="G244" s="42"/>
      <c r="H244" s="42"/>
      <c r="I244" s="42"/>
      <c r="J244" s="41"/>
    </row>
  </sheetData>
  <mergeCells count="3">
    <mergeCell ref="G7:I7"/>
    <mergeCell ref="G83:I83"/>
    <mergeCell ref="G168:I168"/>
  </mergeCells>
  <printOptions horizontalCentered="1" gridLinesSet="0"/>
  <pageMargins left="0.5" right="0.25" top="0.75" bottom="0.5" header="0.5" footer="0.5"/>
  <pageSetup scale="77" orientation="portrait" horizontalDpi="4294967292" verticalDpi="4294967292" r:id="rId1"/>
  <headerFooter alignWithMargins="0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Article 2014</vt:lpstr>
      <vt:lpstr>'Budget Article 2014'!Print_Area</vt:lpstr>
    </vt:vector>
  </TitlesOfParts>
  <Company>Hanson Town Hall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thassett</dc:creator>
  <cp:lastModifiedBy>mmarini</cp:lastModifiedBy>
  <cp:lastPrinted>2013-04-23T16:55:45Z</cp:lastPrinted>
  <dcterms:created xsi:type="dcterms:W3CDTF">2013-04-23T16:37:18Z</dcterms:created>
  <dcterms:modified xsi:type="dcterms:W3CDTF">2013-04-30T15:22:26Z</dcterms:modified>
</cp:coreProperties>
</file>